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tabRatio="845" firstSheet="1" activeTab="1"/>
  </bookViews>
  <sheets>
    <sheet name="всего ст.340 (2013 год) ФУ" sheetId="1" state="hidden" r:id="rId1"/>
    <sheet name="Лист2" sheetId="2" r:id="rId2"/>
  </sheets>
  <definedNames>
    <definedName name="Z_561544A6_37D3_4638_AF8C_883EA1242E4F_.wvu.PrintArea" localSheetId="0" hidden="1">'всего ст.340 (2013 год) ФУ'!$A$1:$AB$160</definedName>
    <definedName name="Z_561544A6_37D3_4638_AF8C_883EA1242E4F_.wvu.PrintTitles" localSheetId="0" hidden="1">'всего ст.340 (2013 год) ФУ'!$A:$A,'всего ст.340 (2013 год) ФУ'!$2:$4</definedName>
    <definedName name="Z_5919A355_C5A4_4C69_AB73_000AD0C380E7_.wvu.PrintArea" localSheetId="0" hidden="1">'всего ст.340 (2013 год) ФУ'!$A$1:$AB$160</definedName>
    <definedName name="Z_5919A355_C5A4_4C69_AB73_000AD0C380E7_.wvu.PrintTitles" localSheetId="0" hidden="1">'всего ст.340 (2013 год) ФУ'!$A:$A,'всего ст.340 (2013 год) ФУ'!$2:$4</definedName>
    <definedName name="Z_6464F0DD_84B7_4F72_98D1_3016F0B9E9A6_.wvu.PrintArea" localSheetId="0" hidden="1">'всего ст.340 (2013 год) ФУ'!$A$1:$AB$160</definedName>
    <definedName name="Z_6464F0DD_84B7_4F72_98D1_3016F0B9E9A6_.wvu.PrintTitles" localSheetId="0" hidden="1">'всего ст.340 (2013 год) ФУ'!$A:$A,'всего ст.340 (2013 год) ФУ'!$2:$4</definedName>
    <definedName name="Z_6C2F50AF_56AA_49AB_A964_BF8E78389BF9_.wvu.PrintArea" localSheetId="0" hidden="1">'всего ст.340 (2013 год) ФУ'!$A$1:$AB$160</definedName>
    <definedName name="Z_6C2F50AF_56AA_49AB_A964_BF8E78389BF9_.wvu.PrintTitles" localSheetId="0" hidden="1">'всего ст.340 (2013 год) ФУ'!$A:$A,'всего ст.340 (2013 год) ФУ'!$2:$4</definedName>
    <definedName name="Z_A3CD3676_A16A_495B_988C_94BE51B6338B_.wvu.Cols" localSheetId="0" hidden="1">'всего ст.340 (2013 год) ФУ'!#REF!,'всего ст.340 (2013 год) ФУ'!#REF!</definedName>
    <definedName name="Z_A3CD3676_A16A_495B_988C_94BE51B6338B_.wvu.PrintArea" localSheetId="0" hidden="1">'всего ст.340 (2013 год) ФУ'!$A$1:$AB$160</definedName>
    <definedName name="Z_A3CD3676_A16A_495B_988C_94BE51B6338B_.wvu.PrintTitles" localSheetId="0" hidden="1">'всего ст.340 (2013 год) ФУ'!$A:$A,'всего ст.340 (2013 год) ФУ'!$2:$4</definedName>
    <definedName name="Z_A93D25DC_EB57_4BAF_8914_D63BB3B0EA2F_.wvu.PrintArea" localSheetId="0" hidden="1">'всего ст.340 (2013 год) ФУ'!$A$1:$AB$160</definedName>
    <definedName name="Z_A93D25DC_EB57_4BAF_8914_D63BB3B0EA2F_.wvu.PrintTitles" localSheetId="0" hidden="1">'всего ст.340 (2013 год) ФУ'!$A:$A,'всего ст.340 (2013 год) ФУ'!$2:$4</definedName>
    <definedName name="Z_C8063FC8_B7CE_4A12_8748_B81531BFF006_.wvu.Cols" localSheetId="0" hidden="1">'всего ст.340 (2013 год) ФУ'!$J:$J,'всего ст.340 (2013 год) ФУ'!$R:$S</definedName>
    <definedName name="Z_C8063FC8_B7CE_4A12_8748_B81531BFF006_.wvu.PrintArea" localSheetId="0" hidden="1">'всего ст.340 (2013 год) ФУ'!$A$1:$AB$160</definedName>
    <definedName name="Z_C8063FC8_B7CE_4A12_8748_B81531BFF006_.wvu.PrintTitles" localSheetId="0" hidden="1">'всего ст.340 (2013 год) ФУ'!$A:$A,'всего ст.340 (2013 год) ФУ'!$2:$4</definedName>
    <definedName name="Z_DB3BA6C0_92D0_4048_B3C9_3DEFF52B1054_.wvu.Cols" localSheetId="0" hidden="1">'всего ст.340 (2013 год) ФУ'!$J:$J,'всего ст.340 (2013 год) ФУ'!$R:$S,'всего ст.340 (2013 год) ФУ'!$AC:$AD</definedName>
    <definedName name="Z_DB3BA6C0_92D0_4048_B3C9_3DEFF52B1054_.wvu.PrintArea" localSheetId="0" hidden="1">'всего ст.340 (2013 год) ФУ'!$A$1:$AH$165</definedName>
    <definedName name="Z_DB3BA6C0_92D0_4048_B3C9_3DEFF52B1054_.wvu.PrintTitles" localSheetId="0" hidden="1">'всего ст.340 (2013 год) ФУ'!$A:$A,'всего ст.340 (2013 год) ФУ'!$2:$4</definedName>
    <definedName name="_xlnm.Print_Titles" localSheetId="0">'всего ст.340 (2013 год) ФУ'!$A:$A,'всего ст.340 (2013 год) ФУ'!$2:$4</definedName>
    <definedName name="_xlnm.Print_Area" localSheetId="0">'всего ст.340 (2013 год) ФУ'!$A$1:$AH$171</definedName>
  </definedNames>
  <calcPr fullCalcOnLoad="1"/>
</workbook>
</file>

<file path=xl/comments1.xml><?xml version="1.0" encoding="utf-8"?>
<comments xmlns="http://schemas.openxmlformats.org/spreadsheetml/2006/main">
  <authors>
    <author>absalyamova</author>
  </authors>
  <commentList>
    <comment ref="E97" authorId="0">
      <text>
        <r>
          <rPr>
            <b/>
            <sz val="8"/>
            <rFont val="Tahoma"/>
            <family val="2"/>
          </rPr>
          <t>absalyamova:</t>
        </r>
        <r>
          <rPr>
            <sz val="8"/>
            <rFont val="Tahoma"/>
            <family val="2"/>
          </rPr>
          <t xml:space="preserve">
мира33
</t>
        </r>
      </text>
    </comment>
  </commentList>
</comments>
</file>

<file path=xl/sharedStrings.xml><?xml version="1.0" encoding="utf-8"?>
<sst xmlns="http://schemas.openxmlformats.org/spreadsheetml/2006/main" count="521" uniqueCount="319">
  <si>
    <t>Муниципальное дошкольное образовательное казенное учреждение детский сад присмотра и оздоровления № 145 города Пензы</t>
  </si>
  <si>
    <t>Наименование</t>
  </si>
  <si>
    <t xml:space="preserve">В том числе питание </t>
  </si>
  <si>
    <t xml:space="preserve"> ГСМ</t>
  </si>
  <si>
    <t xml:space="preserve"> запчасти</t>
  </si>
  <si>
    <t xml:space="preserve"> мягкий инв.</t>
  </si>
  <si>
    <t>прочее</t>
  </si>
  <si>
    <t>НМЦ</t>
  </si>
  <si>
    <t>МУК</t>
  </si>
  <si>
    <t>муниципальное казенное учреждение  "Научно-методический центр г. Пензы"</t>
  </si>
  <si>
    <t>ХЭК</t>
  </si>
  <si>
    <t>канцтовары</t>
  </si>
  <si>
    <t>стройматериалы</t>
  </si>
  <si>
    <t>спецодежда</t>
  </si>
  <si>
    <t>окон.конструкции</t>
  </si>
  <si>
    <t xml:space="preserve">дезсредства </t>
  </si>
  <si>
    <t>моющие ср.-ва</t>
  </si>
  <si>
    <t>Всего прочее</t>
  </si>
  <si>
    <t>Исполнитель</t>
  </si>
  <si>
    <t>посуда</t>
  </si>
  <si>
    <t>медикаменты,медиц.инстр.</t>
  </si>
  <si>
    <t>вода питьевая</t>
  </si>
  <si>
    <t>диз.топливо</t>
  </si>
  <si>
    <t>запчасти для моделей, газов.обор-я, компьютеров, холод.обор-я</t>
  </si>
  <si>
    <t>муниципальное бюджетное общеобразовательное учреждение многопрофильная гимназия № 4 "Ступени" города Пензы</t>
  </si>
  <si>
    <t>муниципальное бюджетное общеобразовательное учреждение "Лицей современных технологий управления № 2" г. Пензы</t>
  </si>
  <si>
    <t>Муниципальное бюджетное общеобразовательное учреждение лицей архитектуры и дизайна № 3 г. Пензы</t>
  </si>
  <si>
    <t>Муниципальное бюджетное общеобразовательное учреждение лингвистическая гимназия № 6 г. Пензы</t>
  </si>
  <si>
    <t>Муниципальное бюджетное общеобразовательное учреждение "Средняя общеобразовательная школа № 7 г. Пензы"</t>
  </si>
  <si>
    <t>Муниципальное бюджетное общеобразовательное учреждение средняя общеобразовательная школа № 8 г. Пензы им. Н. С. Павлушкина</t>
  </si>
  <si>
    <t>муниципальное бюджетное общеобразовательное учреждение средняя общеобразовательная школа № 9 г. Пензы</t>
  </si>
  <si>
    <t>муниципальное бюджетное общеобразовательное учреждение средняя общеобразовательная школа № 10 г. Пензы</t>
  </si>
  <si>
    <t>муниципальное бюджетное общеобразовательное учреждение средняя общеобразовательная школа №11 г. Пензы с углубленным изучением предметов гуманитарно-правового профиля</t>
  </si>
  <si>
    <t>Муниципальное бюджетное общеобразовательное учреждение средняя общеобразовательная школа № 12 г. Пензы имени В.В. Тарасова</t>
  </si>
  <si>
    <t>муниципальное бюджетное общеобразовательное учреждение "Средняя общеобразовательная школа №16 г. Пензы"</t>
  </si>
  <si>
    <t>Муниципальное бюджетное общеобразовательное учреждение средняя общеобразовательная школа № 17 г. Пензы</t>
  </si>
  <si>
    <t>Муниципальное бюджетное общеобразовательное учреждение средняя общеобразовательная школа № 18 г. Пензы</t>
  </si>
  <si>
    <t>Муниципальное бюджетное общеобразовательное учреждение средняя общеобразовательная школа № 19 г. Пензы</t>
  </si>
  <si>
    <t>муниципальное бюджетное общеобразовательное учреждение средняя общеобразовательная школа № 20 г. Пензы</t>
  </si>
  <si>
    <t>муниципальное бюджетное общеобразовательное учреждение "Средняя общеобразовательная школа № 25 г. Пензы им. В. П.  Квышко"</t>
  </si>
  <si>
    <t>муниципальное бюджетное общеобразовательное учреждение средняя общеобразовательная школа № 26 города Пензы</t>
  </si>
  <si>
    <t>Муниципальное бюджетное общеобразовательное учреждение средняя общеобразовательная школа № 27 г. Пензы</t>
  </si>
  <si>
    <t>муниципальное бюджетное образовательное учреждение средняя общеобразовательная школа № 28 г. Пензы</t>
  </si>
  <si>
    <t>Муниципальное бюджетное общеобразовательное учреждение финансово-экономический лицей № 29 г. Пензы</t>
  </si>
  <si>
    <t>Муниципальное бюджетное образовательное учреждение средняя общеобразовательная школа № 30 г. Пензы</t>
  </si>
  <si>
    <t>муниципальное бюджетное общеобразовательное учреждение средняя общеобразовательная школа № 31 города Пензы</t>
  </si>
  <si>
    <t>Муниципальное бюджетное общеобразовательное учреждение средняя общеобразовательная школа № 32 г. Пензы</t>
  </si>
  <si>
    <t>Муниципальное бюджетное общеобразовательное учреждение средняя общеобразовательная школа № 35 г. Пензы</t>
  </si>
  <si>
    <t>муниципальное бюджетное общеобразовательное учреждение средняя общеобразовательная школа № 36 г. Пензы</t>
  </si>
  <si>
    <t>Муниципальное бюджетное общеобразовательное учреждение Средняя общеобразовательная школа № 37 г. Пензы</t>
  </si>
  <si>
    <t>муниципальное бюджетное общеобразовательное учреждение "Основная общеобразовательная школа № 38" г. Пензы</t>
  </si>
  <si>
    <t>Муниципальное бюджетное общеобразовательное учреждение средняя общеобразовательная школа № 39 г. Пензы</t>
  </si>
  <si>
    <t>муниципальное бюджетное общеобразовательное учреждение средняя общеобразовательная школа № 40 г. Пензы</t>
  </si>
  <si>
    <t>Муниципальное бюджетное общеобразовательное учреждение Средняя общеобразовательная школа № 41 г. Пензы</t>
  </si>
  <si>
    <t>муниципальное бюджетное общеобразовательное учреждение гимназия № 42 г. Пензы</t>
  </si>
  <si>
    <t>муниципальное бюджетное общеобразовательное учреждение "Средняя общеобразовательная школа № 43 г. Пензы"</t>
  </si>
  <si>
    <t>Муниципальное бюджетное общеобразовательное учреждение гимназия №44 г. Пензы</t>
  </si>
  <si>
    <t>муниципальное бюджетное общеобразовательное учреждение средняя общеобразовательная школа № 45 г. Пензы</t>
  </si>
  <si>
    <t>Муниципальное бюджетное образовательное учреждение "Кадетская школа № 46 г. Пензы. Пензенский казачий генерала Слепцова кадетский корпус"</t>
  </si>
  <si>
    <t>муниципальное бюджетное общеобразовательное учреждение "Средняя общеобразовательная школа № 47 г. Пензы"</t>
  </si>
  <si>
    <t>Муниципальное бюджетное общеобразовательное учреждение средняя общеобразовательная школа № 48 города Пензы</t>
  </si>
  <si>
    <t>Муниципальное бюджетное общеобразовательное учреждение средняя общеобразовательная школа № 49 г. Пензы</t>
  </si>
  <si>
    <t>муниципальное бюджетное общеобразовательное учреждение средняя общеобразовательная школа № 50 г. Пензы</t>
  </si>
  <si>
    <t>Муниципальное бюджетное общеобразовательное учреждение средняя общеобразовательная школа № 51 г. Пензы</t>
  </si>
  <si>
    <t>Муниципальное бюджетное общеобразовательное учреждение средняя общеобразовательная школа № 52 г. Пензы</t>
  </si>
  <si>
    <t>Муниципальное бюджетное общеобразовательное учреждение "Гимназия № 53" г. Пензы</t>
  </si>
  <si>
    <t>муниципальное бюджетное общеобразовательное учреждение "Лицей № 55" г. Пензы</t>
  </si>
  <si>
    <t>муниципальное бюджетное общеобразовательное учреждение средняя общеобразовательная школа № 56 г. Пензы</t>
  </si>
  <si>
    <t>муниципальное бюджетное общеобразовательное учреждение средняя общеобразовательная школа № 57 имени В.Х.Хохрякова г. Пензы</t>
  </si>
  <si>
    <t>муниципальное бюджетное общеобразовательное учреждение средняя общеобразовательная школа № 58 г. Пензы</t>
  </si>
  <si>
    <t>муниципальное бюджетное общеобразовательное учреждение средняя общеобразовательная школа №59 г. Пензы</t>
  </si>
  <si>
    <t>муниципальное бюджетное общеобразовательное учреждение средняя общеобразовательная школа № 60 г. Пензы</t>
  </si>
  <si>
    <t>Муниципальное бюджетное общеобразовательное учреждение средняя общеобразовательная школа № 61 г.Пензы</t>
  </si>
  <si>
    <t>Муниципальное бюджетное общеобразовательное учреждение средняя общеобразовательная школа № 62 г.Пензы</t>
  </si>
  <si>
    <t>муниципальное бюджетное общеобразовательное учреждение "Средняя общеобразовательная школа № 63" г. Пензы</t>
  </si>
  <si>
    <t>муниципальное бюджетное общеобразовательное учреждение средняя общеобразовательная школа № 64 г. Пензы</t>
  </si>
  <si>
    <t>Муниципальное бюджетное образовательное учреждение "Средняя общеобразовательная школа № 65" г. Пензы</t>
  </si>
  <si>
    <t>Муниципальное бюджетное общеобразовательное учреждение средняя общеобразовательная школа № 66 г. Пензы</t>
  </si>
  <si>
    <t>муниципальное бюджетное общеобразовательное учреждение средняя общеобразовательная школа № 67 г. Пензы</t>
  </si>
  <si>
    <t>муниципальное бюджетное общеобразовательное учреждение средняя общеобразовательная школа с углубленным изучением информатики № 68 г. Пензы</t>
  </si>
  <si>
    <t>муниципальное бюджетное общеобразовательное учреждение средняя общеобразовательная школа № 69 г. Пензы</t>
  </si>
  <si>
    <t>муниципальное бюджетное общеобразовательное учреждение "Кадетская школа по делам гражданской обороны, чрезвычайным ситуациям и ликвидации последствий стихийных бедствий №70" г. Пензы</t>
  </si>
  <si>
    <t>Муниципальное бюджетное общеобразовательное учреждение средняя общеобразовательная школа № 71 г.Пензы</t>
  </si>
  <si>
    <t>Муниципальное бюджетное общеобразовательное учреждение лицей № 73 г. Пензы "Лицей информационных систем и технологий"</t>
  </si>
  <si>
    <t>Муниципальное бюджетное общеобразовательное учреждение средняя общеобразовательная школа № 74 г. Пензы</t>
  </si>
  <si>
    <t>муниципальное бюджетное общеобразовательное учреждение средняя общеобразовательная школа № 75 г. Пензы</t>
  </si>
  <si>
    <t>муниципальное бюджетное образовательное учреждение "Средняя общеобразовательная школа № 76" г. Пензы</t>
  </si>
  <si>
    <t>Муниципальное бюджетное общеобразовательное учреждение "Средняя общеобразовательная школа № 77 г. Пензы"</t>
  </si>
  <si>
    <t>муниципальное бюджетное общеобразовательное учреждение классическая гимназия № 1 им. В.Г. Белинского г. Пензы</t>
  </si>
  <si>
    <t>муниципальное бюджетное общеобразовательное учреждение гимназия "САН" г. Пензы</t>
  </si>
  <si>
    <t>муниципальное бюджетное вечернее (сменное) общеобразовательное учреждение центр образования №1 г. Пензы</t>
  </si>
  <si>
    <t>Муниципальное бюджетное общеобразовательное учреждение "Гимназия во имя святителя Иннокентия Пензенского" г. Пензы</t>
  </si>
  <si>
    <t>муниципальное бюджетное образовательное учреждение общеобразовательная школа-интернат среднего (полного) общего образования №1 г. Пензы</t>
  </si>
  <si>
    <t>муниципальное бюджетное дошкольное образовательное учреждение детский сад комбинированного вида № 5 г. Пензы</t>
  </si>
  <si>
    <t>Муниципальное бюджетное дошкольное образовательное учреждение детский сад комбинированного вида № 7 города Пензы</t>
  </si>
  <si>
    <t>Муниципальное бюджетное дошкольное образовательное учреждение детский сад комбинированного вида № 17 г. Пензы</t>
  </si>
  <si>
    <t>Муниципальное бюджетное дошкольное образовательное учреждение детский сад комбинированного вида № 19 г. Пензы</t>
  </si>
  <si>
    <t>Муниципальное бюджетное дошкольное образовательное учреждение центр развития ребенка - детский сад №22 города Пензы</t>
  </si>
  <si>
    <t>муниципальное бюджетное дошкольное образовательное учреждение детский сад комбинированного вида № 23 г. Пензы</t>
  </si>
  <si>
    <t>муниципальное бюджетное дошкольное образовательное учреждение детский сад комбинированного вида № 31 города Пензы</t>
  </si>
  <si>
    <t>Муниципальное бюджетное дошкольное образовательное учреждение детский сад комбинированного вида №39 г. Пензы</t>
  </si>
  <si>
    <t>Муниципальное бюджетное дошкольное образовательное учреждение детский сад комбинированного вида № 52 г. Пензы</t>
  </si>
  <si>
    <t>Муниципальное бюджетное дошкольное образовательное учреждение детский сад комбинированного вида №56 г. Пензы</t>
  </si>
  <si>
    <t>муниципальное бюджетное дошкольное образовательное учреждение детский сад № 57 г. Пензы</t>
  </si>
  <si>
    <t>Муниципальное бюджетное дошкольное образовательное учреждение детский сад комбинированного вида № 59 г. Пензы</t>
  </si>
  <si>
    <t>муниципальное бюджетное дошкольное образовательное учреждение детский сад комбинированного вида № 70 г. Пензы</t>
  </si>
  <si>
    <t>муниципальное бюджетное дошкольное образовательное учреждение детский сад комбинированного вида № 71 г. Пензы</t>
  </si>
  <si>
    <t>муниципальное бюджетное дошкольное образовательное учреждение детский сад комбинированного вида № 88 г.Пензы</t>
  </si>
  <si>
    <t>Муниципальное бюджетное дошкольное образовательное учреждение детский сад комбинированного вида № 89 города Пензы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</si>
  <si>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96 г. Пензы</t>
  </si>
  <si>
    <t>муниципальное бюджетное дошкольное образовательное учреждение детский сад комбинированного вида № 99 города Пензы</t>
  </si>
  <si>
    <t>муниципальное бюджетное дошкольное образовательное учреждение детский сад комбинированного вида № 101 г. Пензы</t>
  </si>
  <si>
    <t>муниципальное бюджетное дошкольное образовательное учреждение детский сад комбинированного вида № 103 г. Пензы</t>
  </si>
  <si>
    <t>муниципальное бюджетное дошкольное образовательное учреждение детский сад комбинированного вида № 105 города Пензы</t>
  </si>
  <si>
    <t>Муниципальное бюджетное дошкольное образовательное учреждение детский сад компенсирующего вида № 106 г. Пензы</t>
  </si>
  <si>
    <t>Муниципальное бюджетное дошкольное образовательное учреждение детский сад № 109 г.Пензы</t>
  </si>
  <si>
    <t>муниципальное бюджетное дошкольное образовательное учреждение детский сад комбинированного вида № 111 г. Пензы "Олененок"</t>
  </si>
  <si>
    <t>Муниципальное бюджетное дошкольное образовательное учреждение детский сад комбинированного вида № 120 г. Пензы</t>
  </si>
  <si>
    <t>Муниципальное бюджетное дошкольное образовательное учреждение детский сад комбинированного вида № 122 города Пензы</t>
  </si>
  <si>
    <t>муниципальное бюджетное дошкольное образовательное учреждение детский сад комбинированного вида № 123 г.Пензы</t>
  </si>
  <si>
    <t>муниципальное бюджетное дошкольное образовательное учреждение детский сад комбинированного вида № 124 города Пензы</t>
  </si>
  <si>
    <t>муниципальное бюджетное дошкольное образовательное учреждение детский сад комбинированного вида № 129 города Пензы</t>
  </si>
  <si>
    <t>муниципальное бюджетное дошкольное образовательное учреждение детский сад комбинированного вида № 130 города Пензы</t>
  </si>
  <si>
    <t>Муниципальное бюджетное дошкольное образовательное учреждение детский сад комбинированного вида № 137 города Пензы</t>
  </si>
  <si>
    <t>муниципальное бюджетное дошкольное образовательное учреждение детский сад комбинированного вида № 139 г. Пензы</t>
  </si>
  <si>
    <t>Муниципальное бюджетное дошкольное образовательное учреждение детский сад комбинированного вида № 141 города Пензы</t>
  </si>
  <si>
    <t>муниципальное бюджетное дошкольное образовательное учреждение детский сад комбинированного вида № 142 города Пензы</t>
  </si>
  <si>
    <t>Муниципальное бюджетное дошкольное образовательное учреждение детский сад комбинированного вида № 143 города Пензы</t>
  </si>
  <si>
    <t>Муниципальное бюджетное дошкольное образовательное учреждение детский сад комбинированного вида № 147 г. Пензы</t>
  </si>
  <si>
    <t>Муниципальное бюджетное дошкольное образовательное учреждение детский сад комбинированного вида № 149 г. Пензы</t>
  </si>
  <si>
    <t>муниципальное бюджетное дошкольное образовательное учреждение детский сад комбинированного вида № 152 города Пензы</t>
  </si>
  <si>
    <t>Муниципальное бюджетное дошкольное образовательное учреждение детский сад комбинированного вида № 110 города Пензы</t>
  </si>
  <si>
    <t>Муниципальное бюджетное дошкольное образовательное учреждение детский сад комбинированного вида № 21 города Пензы</t>
  </si>
  <si>
    <t>Муниципальное бюджетное дошкольное образовательное учреждение детский сад комбинированного вида №151 г. Пензы</t>
  </si>
  <si>
    <t>Муниципальное бюджетное образовательное учреждение дополнительного образования детей "Дворец детского (юношеского) творчества" г. Пенза</t>
  </si>
  <si>
    <t>Муниципальное бюджетное образовательное учреждение дополнительного образования детей Детская школа искусств города Пензы</t>
  </si>
  <si>
    <t>Муниципальное бюджетное образовательное учреждение дополнительного образования детей "Центр детского юношеского туризма и экскурсий" г. Пензы</t>
  </si>
  <si>
    <t>муниципальное бюджетное образовательное учреждение дополнительного образования детей Детский (юношеский) центр № 1 г. Пензы</t>
  </si>
  <si>
    <t>муниципальное бюджетное образовательное учреждение дополнительного образования детей Дом детского творчества №1 города Пензы</t>
  </si>
  <si>
    <t>муниципальное бюджетное образовательное учреждение дополнительного образования детей Дом детского творчества № 2 г. Пензы</t>
  </si>
  <si>
    <t>Муниципальное бюджетное образовательное учреждение дополнительного образования детей Центр развития творчества детей и юношества г. Пензы</t>
  </si>
  <si>
    <t>муниципальное бюджетное образовательное учреждение дополнительного образования детей Центр развития творчества детей и юношества № 2 г. Пензы</t>
  </si>
  <si>
    <t>Муниципальное бюджетное образовательное учреждение дополнительного образования детей Детский морской центр города Пензы</t>
  </si>
  <si>
    <t>Муниципальное бюджетное образовательное учреждение дополнительного образования детей "Станция юных техников № 1 г. Пензы"</t>
  </si>
  <si>
    <t>Муниципальное бюджетное образовательное учреждение дополнительного образования детей Городская станция юных техников № 2 г. Пензы</t>
  </si>
  <si>
    <t>муниципальное бюджетное образовательное учреждение дополнительного образования детей детско-юношеский центр "Спутник" г. Пензы</t>
  </si>
  <si>
    <t>муниципальное бюджетное образовательное учреждение "Межшкольный учебный комбинат" г. Пензы</t>
  </si>
  <si>
    <t>Муниципальное казенное учреждение "Детский оздоровительный центр "Юность" г. Пензы"</t>
  </si>
  <si>
    <t>Муниципальное бюджетное учреждение "Хозяйственно-эксплуатационная контора" города Пензы</t>
  </si>
  <si>
    <t>муниципальное бюджетное образовательное учреждение дополнительного образования детей Дом детского творчества №1 города Пензы (СТРОИТЕЛЬ)</t>
  </si>
  <si>
    <t>муниципальное бюджетное образовательное учреждение дополнительного образования детей Дом детского творчества № 2 г. Пензы (ОКТЯБРЬСКИЙ)</t>
  </si>
  <si>
    <t>Муниципальное бюджетное образовательное учреждение дополнительного образования детей Центр развития творчества детей и юношества г. Пензы (ОРЛЕНОК)</t>
  </si>
  <si>
    <t>в  том  числе  прочее</t>
  </si>
  <si>
    <t>2011 год</t>
  </si>
  <si>
    <t>2012 год</t>
  </si>
  <si>
    <t>Муниципальное автономное дошкольное образовательное учреждение Центр развития ребенка - детский сад №150 города Пензы</t>
  </si>
  <si>
    <t>муниципальное автономное образовательное учреждение многопрофильная гимназия №13 г. Пензы</t>
  </si>
  <si>
    <t>Школы всего:</t>
  </si>
  <si>
    <t>в том числе</t>
  </si>
  <si>
    <t>Школы (бюджетные без интерната)</t>
  </si>
  <si>
    <t>Школы (автономные)</t>
  </si>
  <si>
    <t>Школы (бюджетные интернат)</t>
  </si>
  <si>
    <t>Детские сады всего:</t>
  </si>
  <si>
    <t>Детские сады (бюджетные)</t>
  </si>
  <si>
    <t>Детские сады (автономные)</t>
  </si>
  <si>
    <t>Детские сады (казенные)</t>
  </si>
  <si>
    <t>Внешкольники</t>
  </si>
  <si>
    <t>Лагеря ( без Юности)</t>
  </si>
  <si>
    <t>Юность</t>
  </si>
  <si>
    <t>ВСЕГО</t>
  </si>
  <si>
    <t>хозтовары,тосол,масло</t>
  </si>
  <si>
    <t>оргтехника, комлектующие,огнетушитель</t>
  </si>
  <si>
    <t>всего бюджет на 2013год</t>
  </si>
  <si>
    <t>отклонение</t>
  </si>
  <si>
    <t xml:space="preserve"> питание  с k= 1,055 c 1.01.13</t>
  </si>
  <si>
    <t xml:space="preserve">всего бюджетна 2013год с k =1,055 с 1.01.13 </t>
  </si>
  <si>
    <t>средняя за два года с индексами</t>
  </si>
  <si>
    <t>Сады новостройки и доп. группы</t>
  </si>
  <si>
    <t>Итого на 2014 год</t>
  </si>
  <si>
    <t>Итого на 2014 год с индексацией 1,05</t>
  </si>
  <si>
    <t>Итого на 2015 год с индексацией 1,05</t>
  </si>
  <si>
    <t>Кочнева Ю.А.</t>
  </si>
  <si>
    <t>Начальник отдела планирования                                                                            Н.А.Тимкина</t>
  </si>
  <si>
    <t>издание инф. материалов</t>
  </si>
  <si>
    <t>Расчет КОСГУ 340 к проекту бюджета на 2013 год и плановый период 2014-2015 годов</t>
  </si>
  <si>
    <t>Расчет расходов бюджета по аналитическому коду  211</t>
  </si>
  <si>
    <t>Заработная плата</t>
  </si>
  <si>
    <t>974 07 02 1210521010 611</t>
  </si>
  <si>
    <t>руб.</t>
  </si>
  <si>
    <t>*</t>
  </si>
  <si>
    <t>мес.</t>
  </si>
  <si>
    <t>=</t>
  </si>
  <si>
    <t xml:space="preserve">в т.ч. ФОК         </t>
  </si>
  <si>
    <t xml:space="preserve"> </t>
  </si>
  <si>
    <t>Расчет расходов бюджета по аналитическому коду  212</t>
  </si>
  <si>
    <t>Прочие выплаты</t>
  </si>
  <si>
    <t>Компенсац. выпл. по ух. за реб.</t>
  </si>
  <si>
    <t>чел.</t>
  </si>
  <si>
    <t>Расчет расходов бюджета по аналитическому коду  213</t>
  </si>
  <si>
    <t>Начисления на выплаты по оплате труда</t>
  </si>
  <si>
    <t>-</t>
  </si>
  <si>
    <t>в том числе ФОК</t>
  </si>
  <si>
    <t>Расчет расходов бюджета по аналитическому коду  221</t>
  </si>
  <si>
    <t>Услуги связи</t>
  </si>
  <si>
    <t>номер</t>
  </si>
  <si>
    <t>интернет</t>
  </si>
  <si>
    <t>минут</t>
  </si>
  <si>
    <t>Расчет расходов бюджета по аналитическому коду  223</t>
  </si>
  <si>
    <t>Коммунальные услуги</t>
  </si>
  <si>
    <t>горячая вода</t>
  </si>
  <si>
    <t>Гкаал</t>
  </si>
  <si>
    <t>куб.м</t>
  </si>
  <si>
    <t>в т.ч. ФОК</t>
  </si>
  <si>
    <t xml:space="preserve"> свободные нерегулируемые цены </t>
  </si>
  <si>
    <t>квт.</t>
  </si>
  <si>
    <t xml:space="preserve">Договор №  7935            от  31.01.2015              с кем " ТНС энергоПенза" </t>
  </si>
  <si>
    <t>в т.ч.ФОК</t>
  </si>
  <si>
    <t>оплата водоснабжения помещения</t>
  </si>
  <si>
    <t>куб.м.</t>
  </si>
  <si>
    <t>канализация</t>
  </si>
  <si>
    <t>ВСЕГО по ФОКу</t>
  </si>
  <si>
    <t>Расчет расходов бюджета по аналитическому коду  225</t>
  </si>
  <si>
    <t>Работы, услуги по содержанию имущества</t>
  </si>
  <si>
    <t>Вывоз мусора</t>
  </si>
  <si>
    <t>за 1 куб.м.</t>
  </si>
  <si>
    <t>м куб.</t>
  </si>
  <si>
    <t>мес</t>
  </si>
  <si>
    <t>в т.ч ФОК</t>
  </si>
  <si>
    <t>тех.обслуж сигнализации</t>
  </si>
  <si>
    <t>Дератизация помещения</t>
  </si>
  <si>
    <t xml:space="preserve">тех.обслуживание радиомодема                   </t>
  </si>
  <si>
    <t>поверка и ремонт теплосчетчиков</t>
  </si>
  <si>
    <t xml:space="preserve">тех.обслуживание АПС                   </t>
  </si>
  <si>
    <t>Расчет расходов бюджета по аналитическому коду  226</t>
  </si>
  <si>
    <t xml:space="preserve">Прочие работы, услуги </t>
  </si>
  <si>
    <t>тревожная кнопка</t>
  </si>
  <si>
    <t>Расчет расходов бюджета по аналитическому коду  290</t>
  </si>
  <si>
    <t>Прочие расходы</t>
  </si>
  <si>
    <t>налог на имущество 2,2% от остаточной стоимости о.с.</t>
  </si>
  <si>
    <t>кадастровый номер  58:29:02014013 :136</t>
  </si>
  <si>
    <t>налог на землю 1.5% от кадастровой стоимости</t>
  </si>
  <si>
    <t xml:space="preserve">Госпошлина </t>
  </si>
  <si>
    <t>транспортный налог</t>
  </si>
  <si>
    <t xml:space="preserve">Договор №  </t>
  </si>
  <si>
    <t xml:space="preserve">Экологический сбор </t>
  </si>
  <si>
    <t>____________</t>
  </si>
  <si>
    <t>Главный бухгалтер МБОУ ЛСТУ №2</t>
  </si>
  <si>
    <t>Пичкаева О. В.</t>
  </si>
  <si>
    <t>руб</t>
  </si>
  <si>
    <t>мин</t>
  </si>
  <si>
    <t>1100,00 * 3 радиомодема(2 здания)</t>
  </si>
  <si>
    <t>Поверка теплосчетчиков</t>
  </si>
  <si>
    <t>Итого ФОК</t>
  </si>
  <si>
    <t xml:space="preserve">Договор №  7935            от  31.01.2017                 с кем " ТНС энергоПенза" </t>
  </si>
  <si>
    <t>Договор №   3026           от 03.02.2017                            с кем ООО "Горводоканал"</t>
  </si>
  <si>
    <t>Договор № 51СС       от 25.01.2017                 с кем ООО "Спецтранс"</t>
  </si>
  <si>
    <t xml:space="preserve">Договор № 6004000025        от 25.01.2017  с кем  Филиап ФГУП "Охрана " МВД России по Пензенской области </t>
  </si>
  <si>
    <t>Договор №    78/АБ      от     25.01.2017                       с кем  ООО "Чернобылец плюс"</t>
  </si>
  <si>
    <t>Договор №  280/Р-1        от    25.01.2017                      с кем  ООО "Чернобылец плюс"</t>
  </si>
  <si>
    <t>Договор № ТО 25/2017.     От 25.01.2017                        с кем  ООО "Интоп плюс"</t>
  </si>
  <si>
    <t>Расчет расходов бюджета по аналитическому коду  340</t>
  </si>
  <si>
    <t>Увеличение стоимости материальных запасов</t>
  </si>
  <si>
    <t>Вода ХВС</t>
  </si>
  <si>
    <t>декабрь-ноябрь</t>
  </si>
  <si>
    <t>ГВС</t>
  </si>
  <si>
    <t>итого</t>
  </si>
  <si>
    <t>Директор МБОУ ЛСТУ № 2</t>
  </si>
  <si>
    <t xml:space="preserve">              Щеглова В.Ч.</t>
  </si>
  <si>
    <t>Договор №     18106 от 01.03.2017 г            с кем Пензенский филиал ОАО "Ростелеком"</t>
  </si>
  <si>
    <t>Договор №     18107 от 01.03.2017 г            с кем Пензенский филиал ОАО "Ростелеком"</t>
  </si>
  <si>
    <t>Договор №  1217/1            от    14.02.2017 г                с кем МКП "Теплоснабжение "</t>
  </si>
  <si>
    <t>ООО "Каралл" Дог № 48-17 от 03.08.2017 г</t>
  </si>
  <si>
    <t>Профиль Е основной "ALBES"</t>
  </si>
  <si>
    <t>Угол пристенный 19*19 3м</t>
  </si>
  <si>
    <t>Лак паркетный глянц. "Престиж" б/ц 1,9 л.</t>
  </si>
  <si>
    <t>Краска ВД фасадная 14 кг</t>
  </si>
  <si>
    <t>Направляющая 24*20*600 Стандарт</t>
  </si>
  <si>
    <t>Направляющая 1,2 м белая ПРОМЕТ</t>
  </si>
  <si>
    <t>Е Основная направляющая 3,6 м</t>
  </si>
  <si>
    <t>Эмаль ПФ 115 белая ГОСТ 6465-74</t>
  </si>
  <si>
    <t>Дюбель-гвоздь 6*40</t>
  </si>
  <si>
    <t>Профнастил С-8*2*1,2*0,45 ультра синий</t>
  </si>
  <si>
    <t>ИП Яшин Н.В Дог № 16-12-919 от 25.01.2017 г</t>
  </si>
  <si>
    <t>программоное обеспечение 1С: 8</t>
  </si>
  <si>
    <t>ОАО "Киржачская типография " Дог № 111866 от 15.03.2017 г</t>
  </si>
  <si>
    <t>Атестаты</t>
  </si>
  <si>
    <t xml:space="preserve">Договор №     35/КЭВ   от  01.03.2017   с кем   ОВО по г.Пензе ФГКУ УВО УМВД России по Пензенской области </t>
  </si>
  <si>
    <t>ООО "Медосмотры. Ру" Дог № 109 от 12.06.2017 г</t>
  </si>
  <si>
    <t>ООО "Медосмотры. Ру" Дог № 203 от 01.12.2017 г</t>
  </si>
  <si>
    <t>ООО "Охрана.Безопасность" Дог № 0403/3 от 03.04.2017 г</t>
  </si>
  <si>
    <t>Атестация рабочих мест</t>
  </si>
  <si>
    <t xml:space="preserve">ФБУЗ "Центр гигиены и эпидимиологии в Пензенской области" Дог № 12909 от 22.06.2017 г </t>
  </si>
  <si>
    <t>Анализы</t>
  </si>
  <si>
    <t xml:space="preserve">ФБУЗ "Центр гигиены и эпидимиологии в Пензенской области" Дог № 2885 от 11.11.2017 г </t>
  </si>
  <si>
    <t>Переодический медицинский осмотр женьщины</t>
  </si>
  <si>
    <t>Переодический медицинский осмотр мужчины</t>
  </si>
  <si>
    <t>УЗИ молочных желез</t>
  </si>
  <si>
    <t>ФЛГ в 2-х проекциях</t>
  </si>
  <si>
    <t>Договор №  248/17           от    25.01.2017                     с кем  ИП Володина Т.В.</t>
  </si>
  <si>
    <t>Договор №  248/17/01          от    28.11.2017                     с кем  ИП Володина Т.В.</t>
  </si>
  <si>
    <t>Испытание изоляции</t>
  </si>
  <si>
    <t>Опресовка системы отопления</t>
  </si>
  <si>
    <t>Договор № ТО 72-06-06    от 06.06.2017 г                       с кем  ООО "Интоп плюс"</t>
  </si>
  <si>
    <t>Договор № 51СС/1       от 21.12.2017                 с кем ООО "Спецтранс"</t>
  </si>
  <si>
    <t>ИП Николаев В.К   Дог   №   22/1    от   23.06.2017</t>
  </si>
  <si>
    <t>ИП Вагалов И.Р   Дог   №   93  от   09.06.2017</t>
  </si>
  <si>
    <t>Договор №  043-II       от    19.06.2017                      с кем  ООО "Чернобылец плюс"</t>
  </si>
  <si>
    <t>Перезаряд огнетушителей</t>
  </si>
  <si>
    <t>Договор №  093-II       от    31.08.2017                      с кем  ООО "Чернобылец плюс"</t>
  </si>
  <si>
    <t>Договор №  121/ПС       от    31.10.2017                      с кем  ООО "Чернобылец плюс"</t>
  </si>
  <si>
    <t>Ремонт пожарной сигнализации</t>
  </si>
  <si>
    <t>Договор №  156/ОЦ       от    31.10.2017                      с кем  ООО "Чернобылец плюс"</t>
  </si>
  <si>
    <t>Оценка качества огнезащитной обработки</t>
  </si>
  <si>
    <t>Договор №  173/Об       от    31.10.2017                      с кем  ООО "Чернобылец плюс"</t>
  </si>
  <si>
    <t>Огнезащитная обработка</t>
  </si>
  <si>
    <t>ООО "Ясное дело 1" Дог № 110 от 23.12.2017 г</t>
  </si>
  <si>
    <t>Замена окон</t>
  </si>
  <si>
    <t>РАСШИФРОВКА К ПЛАНУ ФИНАНСОВО-ХОЗЯЙСТВЕННОЙ ДЕЯТЕЛЬНОСТИ                                         НА 21 декабря 2017 года  МБОУ "Лицей современных технологий управления №  2 "г.Пензы</t>
  </si>
  <si>
    <t>Итого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</si>
</sst>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0.00_ ;[Red]\-0.00\ "/>
    <numFmt numFmtId="174" formatCode="#,##0.00_ ;[Red]\-#,##0.00\ "/>
    <numFmt numFmtId="175" formatCode="#,##0.000_ ;[Red]\-#,##0.000\ "/>
    <numFmt numFmtId="176" formatCode="0.000"/>
    <numFmt numFmtId="177" formatCode="dd/mm/yy;@"/>
    <numFmt numFmtId="178" formatCode="mmm/yyyy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00"/>
    <numFmt numFmtId="187" formatCode="0.0000"/>
    <numFmt numFmtId="188" formatCode="_-* #,##0.00&quot;р.&quot;_-;\-* #,##0.00&quot;р.&quot;_-;_-* \-??&quot;р.&quot;_-;_-@_-"/>
    <numFmt numFmtId="189" formatCode="0.00;[Red]0.00"/>
    <numFmt numFmtId="190" formatCode="0.00_ ;\-0.00\ "/>
    <numFmt numFmtId="191" formatCode="0.00000"/>
    <numFmt numFmtId="192" formatCode="#,##0.0000"/>
    <numFmt numFmtId="193" formatCode="#,##0_р_."/>
    <numFmt numFmtId="194" formatCode="#,##0_ ;[Red]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 horizontal="center" wrapText="1"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2" fillId="0" borderId="0">
      <alignment horizontal="right"/>
      <protection/>
    </xf>
    <xf numFmtId="49" fontId="44" fillId="0" borderId="1">
      <alignment horizontal="left" vertical="top" shrinkToFit="1"/>
      <protection/>
    </xf>
    <xf numFmtId="0" fontId="42" fillId="0" borderId="1">
      <alignment horizontal="center" vertical="center" wrapText="1"/>
      <protection/>
    </xf>
    <xf numFmtId="0" fontId="45" fillId="0" borderId="2">
      <alignment/>
      <protection/>
    </xf>
    <xf numFmtId="0" fontId="45" fillId="0" borderId="0">
      <alignment horizontal="left" vertical="top" wrapText="1"/>
      <protection/>
    </xf>
    <xf numFmtId="49" fontId="42" fillId="0" borderId="1">
      <alignment horizontal="center" vertical="top" shrinkToFit="1"/>
      <protection/>
    </xf>
    <xf numFmtId="49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6" fillId="19" borderId="1">
      <alignment horizontal="right" vertical="top" shrinkToFit="1"/>
      <protection/>
    </xf>
    <xf numFmtId="10" fontId="46" fillId="19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0" fontId="42" fillId="0" borderId="0">
      <alignment horizontal="left" wrapText="1"/>
      <protection/>
    </xf>
    <xf numFmtId="0" fontId="46" fillId="0" borderId="1">
      <alignment vertical="top" wrapText="1"/>
      <protection/>
    </xf>
    <xf numFmtId="4" fontId="46" fillId="20" borderId="1">
      <alignment horizontal="right" vertical="top" shrinkToFit="1"/>
      <protection/>
    </xf>
    <xf numFmtId="10" fontId="46" fillId="20" borderId="1">
      <alignment horizontal="right" vertical="top" shrinkToFi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3" applyNumberFormat="0" applyAlignment="0" applyProtection="0"/>
    <xf numFmtId="0" fontId="48" fillId="28" borderId="4" applyNumberFormat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19" borderId="10" applyNumberFormat="0" applyFont="0" applyAlignment="0" applyProtection="0"/>
    <xf numFmtId="9" fontId="1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74" applyFont="1" applyFill="1" applyBorder="1" applyAlignment="1">
      <alignment/>
      <protection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horizontal="left" wrapText="1"/>
    </xf>
    <xf numFmtId="4" fontId="3" fillId="0" borderId="12" xfId="74" applyNumberFormat="1" applyFont="1" applyFill="1" applyBorder="1" applyAlignment="1">
      <alignment/>
      <protection/>
    </xf>
    <xf numFmtId="4" fontId="4" fillId="0" borderId="12" xfId="74" applyNumberFormat="1" applyFont="1" applyFill="1" applyBorder="1" applyAlignment="1">
      <alignment/>
      <protection/>
    </xf>
    <xf numFmtId="4" fontId="4" fillId="0" borderId="13" xfId="74" applyNumberFormat="1" applyFont="1" applyFill="1" applyBorder="1" applyAlignment="1">
      <alignment/>
      <protection/>
    </xf>
    <xf numFmtId="4" fontId="5" fillId="0" borderId="12" xfId="0" applyNumberFormat="1" applyFont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72" fontId="4" fillId="33" borderId="12" xfId="0" applyNumberFormat="1" applyFont="1" applyFill="1" applyBorder="1" applyAlignment="1">
      <alignment vertical="top" wrapText="1"/>
    </xf>
    <xf numFmtId="4" fontId="4" fillId="34" borderId="12" xfId="74" applyNumberFormat="1" applyFont="1" applyFill="1" applyBorder="1" applyAlignment="1">
      <alignment/>
      <protection/>
    </xf>
    <xf numFmtId="4" fontId="4" fillId="0" borderId="12" xfId="74" applyNumberFormat="1" applyFont="1" applyBorder="1" applyAlignment="1">
      <alignment/>
      <protection/>
    </xf>
    <xf numFmtId="2" fontId="5" fillId="0" borderId="12" xfId="0" applyNumberFormat="1" applyFont="1" applyFill="1" applyBorder="1" applyAlignment="1">
      <alignment/>
    </xf>
    <xf numFmtId="4" fontId="4" fillId="35" borderId="12" xfId="74" applyNumberFormat="1" applyFont="1" applyFill="1" applyBorder="1" applyAlignment="1">
      <alignment/>
      <protection/>
    </xf>
    <xf numFmtId="4" fontId="5" fillId="34" borderId="12" xfId="0" applyNumberFormat="1" applyFont="1" applyFill="1" applyBorder="1" applyAlignment="1">
      <alignment wrapText="1"/>
    </xf>
    <xf numFmtId="172" fontId="4" fillId="0" borderId="14" xfId="0" applyNumberFormat="1" applyFont="1" applyBorder="1" applyAlignment="1">
      <alignment vertical="top" wrapText="1"/>
    </xf>
    <xf numFmtId="0" fontId="5" fillId="36" borderId="0" xfId="0" applyFont="1" applyFill="1" applyAlignment="1">
      <alignment wrapText="1"/>
    </xf>
    <xf numFmtId="4" fontId="4" fillId="0" borderId="12" xfId="74" applyNumberFormat="1" applyFont="1" applyFill="1" applyBorder="1" applyAlignment="1">
      <alignment horizontal="right"/>
      <protection/>
    </xf>
    <xf numFmtId="17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" fontId="4" fillId="0" borderId="0" xfId="74" applyNumberFormat="1" applyFont="1" applyAlignment="1">
      <alignment/>
      <protection/>
    </xf>
    <xf numFmtId="4" fontId="4" fillId="0" borderId="0" xfId="74" applyNumberFormat="1" applyFont="1" applyFill="1" applyBorder="1" applyAlignment="1">
      <alignment/>
      <protection/>
    </xf>
    <xf numFmtId="0" fontId="5" fillId="33" borderId="13" xfId="0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36" borderId="13" xfId="0" applyFont="1" applyFill="1" applyBorder="1" applyAlignment="1">
      <alignment/>
    </xf>
    <xf numFmtId="4" fontId="5" fillId="36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18" borderId="13" xfId="0" applyFont="1" applyFill="1" applyBorder="1" applyAlignment="1">
      <alignment/>
    </xf>
    <xf numFmtId="4" fontId="5" fillId="18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4" fontId="5" fillId="0" borderId="12" xfId="0" applyNumberFormat="1" applyFont="1" applyBorder="1" applyAlignment="1">
      <alignment horizontal="right"/>
    </xf>
    <xf numFmtId="2" fontId="4" fillId="0" borderId="0" xfId="74" applyNumberFormat="1" applyFont="1" applyFill="1">
      <alignment/>
      <protection/>
    </xf>
    <xf numFmtId="2" fontId="8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37" borderId="12" xfId="0" applyNumberFormat="1" applyFont="1" applyFill="1" applyBorder="1" applyAlignment="1">
      <alignment wrapText="1"/>
    </xf>
    <xf numFmtId="4" fontId="4" fillId="37" borderId="12" xfId="74" applyNumberFormat="1" applyFont="1" applyFill="1" applyBorder="1" applyAlignment="1">
      <alignment/>
      <protection/>
    </xf>
    <xf numFmtId="4" fontId="4" fillId="37" borderId="13" xfId="74" applyNumberFormat="1" applyFont="1" applyFill="1" applyBorder="1" applyAlignment="1">
      <alignment/>
      <protection/>
    </xf>
    <xf numFmtId="0" fontId="12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3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2" xfId="0" applyFill="1" applyBorder="1" applyAlignment="1">
      <alignment/>
    </xf>
    <xf numFmtId="0" fontId="13" fillId="4" borderId="13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2" fontId="12" fillId="4" borderId="16" xfId="0" applyNumberFormat="1" applyFont="1" applyFill="1" applyBorder="1" applyAlignment="1">
      <alignment/>
    </xf>
    <xf numFmtId="0" fontId="13" fillId="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12" fillId="34" borderId="12" xfId="0" applyNumberFormat="1" applyFont="1" applyFill="1" applyBorder="1" applyAlignment="1">
      <alignment/>
    </xf>
    <xf numFmtId="0" fontId="14" fillId="4" borderId="12" xfId="0" applyFont="1" applyFill="1" applyBorder="1" applyAlignment="1">
      <alignment/>
    </xf>
    <xf numFmtId="2" fontId="13" fillId="4" borderId="12" xfId="0" applyNumberFormat="1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176" fontId="0" fillId="0" borderId="12" xfId="0" applyNumberFormat="1" applyBorder="1" applyAlignment="1">
      <alignment/>
    </xf>
    <xf numFmtId="0" fontId="12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4" fontId="13" fillId="34" borderId="20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12" fillId="4" borderId="12" xfId="0" applyFont="1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6" xfId="0" applyNumberFormat="1" applyFill="1" applyBorder="1" applyAlignment="1">
      <alignment/>
    </xf>
    <xf numFmtId="0" fontId="12" fillId="38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Alignment="1">
      <alignment/>
    </xf>
    <xf numFmtId="4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4" borderId="12" xfId="0" applyNumberFormat="1" applyFill="1" applyBorder="1" applyAlignment="1">
      <alignment/>
    </xf>
    <xf numFmtId="0" fontId="15" fillId="0" borderId="12" xfId="0" applyFont="1" applyBorder="1" applyAlignment="1">
      <alignment/>
    </xf>
    <xf numFmtId="2" fontId="15" fillId="4" borderId="1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" fontId="15" fillId="0" borderId="0" xfId="0" applyNumberFormat="1" applyFont="1" applyAlignment="1">
      <alignment/>
    </xf>
    <xf numFmtId="4" fontId="13" fillId="10" borderId="12" xfId="0" applyNumberFormat="1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24" xfId="0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2" fillId="10" borderId="12" xfId="0" applyFont="1" applyFill="1" applyBorder="1" applyAlignment="1">
      <alignment/>
    </xf>
    <xf numFmtId="4" fontId="12" fillId="10" borderId="12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1" fontId="9" fillId="0" borderId="12" xfId="76" applyNumberFormat="1" applyFont="1" applyBorder="1" applyAlignment="1">
      <alignment horizontal="center" vertical="top" wrapText="1"/>
      <protection/>
    </xf>
    <xf numFmtId="4" fontId="12" fillId="34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16" fillId="10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2" fontId="3" fillId="39" borderId="12" xfId="74" applyNumberFormat="1" applyFont="1" applyFill="1" applyBorder="1" applyAlignment="1">
      <alignment horizontal="center" wrapText="1"/>
      <protection/>
    </xf>
    <xf numFmtId="2" fontId="3" fillId="0" borderId="12" xfId="74" applyNumberFormat="1" applyFont="1" applyFill="1" applyBorder="1" applyAlignment="1">
      <alignment horizontal="center" wrapText="1"/>
      <protection/>
    </xf>
    <xf numFmtId="2" fontId="3" fillId="0" borderId="20" xfId="74" applyNumberFormat="1" applyFont="1" applyFill="1" applyBorder="1" applyAlignment="1">
      <alignment horizontal="center" wrapText="1"/>
      <protection/>
    </xf>
    <xf numFmtId="2" fontId="3" fillId="0" borderId="25" xfId="74" applyNumberFormat="1" applyFont="1" applyFill="1" applyBorder="1" applyAlignment="1">
      <alignment horizontal="center" wrapText="1"/>
      <protection/>
    </xf>
    <xf numFmtId="2" fontId="3" fillId="0" borderId="13" xfId="74" applyNumberFormat="1" applyFont="1" applyFill="1" applyBorder="1" applyAlignment="1">
      <alignment horizontal="center" wrapText="1"/>
      <protection/>
    </xf>
    <xf numFmtId="2" fontId="5" fillId="0" borderId="20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35" borderId="20" xfId="0" applyNumberFormat="1" applyFont="1" applyFill="1" applyBorder="1" applyAlignment="1">
      <alignment horizontal="center" wrapText="1"/>
    </xf>
    <xf numFmtId="2" fontId="5" fillId="35" borderId="25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/>
    </xf>
    <xf numFmtId="0" fontId="3" fillId="0" borderId="12" xfId="74" applyFont="1" applyFill="1" applyBorder="1" applyAlignment="1">
      <alignment/>
      <protection/>
    </xf>
    <xf numFmtId="2" fontId="3" fillId="0" borderId="20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88" fontId="12" fillId="0" borderId="0" xfId="63" applyNumberFormat="1" applyFont="1" applyAlignment="1">
      <alignment horizontal="right"/>
    </xf>
    <xf numFmtId="0" fontId="12" fillId="0" borderId="12" xfId="0" applyFont="1" applyBorder="1" applyAlignment="1">
      <alignment horizontal="center" wrapText="1"/>
    </xf>
    <xf numFmtId="1" fontId="9" fillId="0" borderId="13" xfId="76" applyNumberFormat="1" applyFont="1" applyBorder="1" applyAlignment="1">
      <alignment horizontal="center" vertical="top" wrapText="1"/>
      <protection/>
    </xf>
    <xf numFmtId="1" fontId="9" fillId="0" borderId="17" xfId="76" applyNumberFormat="1" applyFont="1" applyBorder="1" applyAlignment="1">
      <alignment horizontal="center" vertical="top" wrapText="1"/>
      <protection/>
    </xf>
    <xf numFmtId="0" fontId="9" fillId="0" borderId="13" xfId="76" applyNumberFormat="1" applyFont="1" applyBorder="1" applyAlignment="1">
      <alignment horizontal="left" vertical="top" wrapText="1"/>
      <protection/>
    </xf>
    <xf numFmtId="0" fontId="9" fillId="0" borderId="16" xfId="76" applyNumberFormat="1" applyFont="1" applyBorder="1" applyAlignment="1">
      <alignment horizontal="left" vertical="top" wrapText="1"/>
      <protection/>
    </xf>
    <xf numFmtId="0" fontId="9" fillId="0" borderId="17" xfId="76" applyNumberFormat="1" applyFont="1" applyBorder="1" applyAlignment="1">
      <alignment horizontal="left" vertical="top" wrapText="1"/>
      <protection/>
    </xf>
    <xf numFmtId="1" fontId="9" fillId="0" borderId="16" xfId="76" applyNumberFormat="1" applyFont="1" applyBorder="1" applyAlignment="1">
      <alignment horizontal="center" vertical="top" wrapText="1"/>
      <protection/>
    </xf>
    <xf numFmtId="0" fontId="16" fillId="0" borderId="13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184" fontId="9" fillId="0" borderId="13" xfId="76" applyNumberFormat="1" applyFont="1" applyBorder="1" applyAlignment="1">
      <alignment horizontal="center" vertical="top" wrapText="1"/>
      <protection/>
    </xf>
    <xf numFmtId="184" fontId="9" fillId="0" borderId="17" xfId="76" applyNumberFormat="1" applyFont="1" applyBorder="1" applyAlignment="1">
      <alignment horizontal="center" vertical="top" wrapText="1"/>
      <protection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3" xfId="33"/>
    <cellStyle name="xl22" xfId="34"/>
    <cellStyle name="xl23" xfId="35"/>
    <cellStyle name="xl24" xfId="36"/>
    <cellStyle name="xl25" xfId="37"/>
    <cellStyle name="xl26" xfId="38"/>
    <cellStyle name="xl27" xfId="39"/>
    <cellStyle name="xl28" xfId="40"/>
    <cellStyle name="xl29" xfId="41"/>
    <cellStyle name="xl30" xfId="42"/>
    <cellStyle name="xl31" xfId="43"/>
    <cellStyle name="xl32" xfId="44"/>
    <cellStyle name="xl35" xfId="45"/>
    <cellStyle name="xl36" xfId="46"/>
    <cellStyle name="xl37" xfId="47"/>
    <cellStyle name="xl38" xfId="48"/>
    <cellStyle name="xl39" xfId="49"/>
    <cellStyle name="xl40" xfId="50"/>
    <cellStyle name="xl41" xfId="51"/>
    <cellStyle name="xl4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2" xfId="74"/>
    <cellStyle name="Обычный 3" xfId="75"/>
    <cellStyle name="Обычный_Лист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1"/>
  <sheetViews>
    <sheetView view="pageBreakPreview" zoomScale="84" zoomScaleSheetLayoutView="84" zoomScalePageLayoutView="0" workbookViewId="0" topLeftCell="A1">
      <pane xSplit="2" ySplit="4" topLeftCell="F1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1" sqref="L131"/>
    </sheetView>
  </sheetViews>
  <sheetFormatPr defaultColWidth="9.140625" defaultRowHeight="15"/>
  <cols>
    <col min="1" max="1" width="42.28125" style="3" customWidth="1"/>
    <col min="2" max="3" width="12.00390625" style="5" bestFit="1" customWidth="1"/>
    <col min="4" max="5" width="11.8515625" style="5" customWidth="1"/>
    <col min="6" max="6" width="12.140625" style="5" customWidth="1"/>
    <col min="7" max="7" width="11.7109375" style="5" customWidth="1"/>
    <col min="8" max="8" width="10.7109375" style="5" customWidth="1"/>
    <col min="9" max="9" width="9.7109375" style="5" customWidth="1"/>
    <col min="10" max="10" width="12.7109375" style="5" hidden="1" customWidth="1"/>
    <col min="11" max="11" width="10.8515625" style="5" customWidth="1"/>
    <col min="12" max="12" width="13.140625" style="6" customWidth="1"/>
    <col min="13" max="13" width="12.421875" style="6" customWidth="1"/>
    <col min="14" max="14" width="10.57421875" style="48" customWidth="1"/>
    <col min="15" max="16" width="11.28125" style="5" customWidth="1"/>
    <col min="17" max="17" width="11.57421875" style="5" customWidth="1"/>
    <col min="18" max="18" width="10.28125" style="5" hidden="1" customWidth="1"/>
    <col min="19" max="19" width="10.7109375" style="5" hidden="1" customWidth="1"/>
    <col min="20" max="20" width="7.7109375" style="5" customWidth="1"/>
    <col min="21" max="21" width="8.57421875" style="5" customWidth="1"/>
    <col min="22" max="22" width="10.00390625" style="5" customWidth="1"/>
    <col min="23" max="23" width="9.140625" style="5" customWidth="1"/>
    <col min="24" max="24" width="10.00390625" style="5" customWidth="1"/>
    <col min="25" max="25" width="10.140625" style="5" customWidth="1"/>
    <col min="26" max="26" width="10.57421875" style="5" customWidth="1"/>
    <col min="27" max="27" width="11.28125" style="5" customWidth="1"/>
    <col min="28" max="28" width="15.28125" style="5" customWidth="1"/>
    <col min="29" max="29" width="13.7109375" style="5" hidden="1" customWidth="1"/>
    <col min="30" max="30" width="15.140625" style="5" hidden="1" customWidth="1"/>
    <col min="31" max="31" width="12.00390625" style="7" customWidth="1"/>
    <col min="32" max="34" width="15.140625" style="7" bestFit="1" customWidth="1"/>
    <col min="35" max="16384" width="9.140625" style="7" customWidth="1"/>
  </cols>
  <sheetData>
    <row r="1" spans="2:23" ht="17.25" customHeight="1">
      <c r="B1" s="1" t="s">
        <v>184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spans="2:30" ht="1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N2" s="142" t="s">
        <v>152</v>
      </c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28" t="s">
        <v>17</v>
      </c>
      <c r="AD2" s="134" t="s">
        <v>173</v>
      </c>
    </row>
    <row r="3" spans="1:34" ht="40.5" customHeight="1">
      <c r="A3" s="143" t="s">
        <v>1</v>
      </c>
      <c r="B3" s="144" t="s">
        <v>153</v>
      </c>
      <c r="C3" s="144" t="s">
        <v>154</v>
      </c>
      <c r="D3" s="144" t="s">
        <v>176</v>
      </c>
      <c r="E3" s="128" t="s">
        <v>2</v>
      </c>
      <c r="F3" s="128" t="s">
        <v>174</v>
      </c>
      <c r="G3" s="127" t="s">
        <v>3</v>
      </c>
      <c r="H3" s="128" t="s">
        <v>4</v>
      </c>
      <c r="I3" s="128" t="s">
        <v>5</v>
      </c>
      <c r="J3" s="129"/>
      <c r="K3" s="131" t="s">
        <v>6</v>
      </c>
      <c r="L3" s="137" t="s">
        <v>172</v>
      </c>
      <c r="M3" s="137" t="s">
        <v>175</v>
      </c>
      <c r="N3" s="139" t="s">
        <v>15</v>
      </c>
      <c r="O3" s="140" t="s">
        <v>11</v>
      </c>
      <c r="P3" s="140" t="s">
        <v>170</v>
      </c>
      <c r="Q3" s="140" t="s">
        <v>12</v>
      </c>
      <c r="R3" s="140" t="s">
        <v>13</v>
      </c>
      <c r="S3" s="140" t="s">
        <v>14</v>
      </c>
      <c r="T3" s="140" t="s">
        <v>16</v>
      </c>
      <c r="U3" s="140" t="s">
        <v>23</v>
      </c>
      <c r="V3" s="140" t="s">
        <v>171</v>
      </c>
      <c r="W3" s="132" t="s">
        <v>19</v>
      </c>
      <c r="X3" s="132" t="s">
        <v>20</v>
      </c>
      <c r="Y3" s="132" t="s">
        <v>21</v>
      </c>
      <c r="Z3" s="132" t="s">
        <v>22</v>
      </c>
      <c r="AA3" s="147" t="s">
        <v>183</v>
      </c>
      <c r="AB3" s="128"/>
      <c r="AC3" s="146"/>
      <c r="AD3" s="135"/>
      <c r="AE3" s="125" t="s">
        <v>177</v>
      </c>
      <c r="AF3" s="125" t="s">
        <v>178</v>
      </c>
      <c r="AG3" s="125" t="s">
        <v>179</v>
      </c>
      <c r="AH3" s="125" t="s">
        <v>180</v>
      </c>
    </row>
    <row r="4" spans="1:34" ht="47.25" customHeight="1">
      <c r="A4" s="143"/>
      <c r="B4" s="145"/>
      <c r="C4" s="145"/>
      <c r="D4" s="145"/>
      <c r="E4" s="128"/>
      <c r="F4" s="128"/>
      <c r="G4" s="127"/>
      <c r="H4" s="128"/>
      <c r="I4" s="128"/>
      <c r="J4" s="130"/>
      <c r="K4" s="131"/>
      <c r="L4" s="138"/>
      <c r="M4" s="138"/>
      <c r="N4" s="139"/>
      <c r="O4" s="140"/>
      <c r="P4" s="140"/>
      <c r="Q4" s="140"/>
      <c r="R4" s="140"/>
      <c r="S4" s="140"/>
      <c r="T4" s="140"/>
      <c r="U4" s="140"/>
      <c r="V4" s="140"/>
      <c r="W4" s="133"/>
      <c r="X4" s="133"/>
      <c r="Y4" s="133"/>
      <c r="Z4" s="133"/>
      <c r="AA4" s="147"/>
      <c r="AB4" s="128"/>
      <c r="AC4" s="146"/>
      <c r="AD4" s="136"/>
      <c r="AE4" s="126"/>
      <c r="AF4" s="126"/>
      <c r="AG4" s="126"/>
      <c r="AH4" s="126"/>
    </row>
    <row r="5" spans="1:34" ht="38.25" customHeight="1">
      <c r="A5" s="8" t="s">
        <v>24</v>
      </c>
      <c r="B5" s="9">
        <v>0</v>
      </c>
      <c r="C5" s="9">
        <v>26000</v>
      </c>
      <c r="D5" s="9">
        <f>ROUND((B5*1.06+C5)/2*1.055,2)</f>
        <v>13715</v>
      </c>
      <c r="E5" s="10"/>
      <c r="F5" s="11">
        <f>ROUND(E5*1.055,2)</f>
        <v>0</v>
      </c>
      <c r="G5" s="11"/>
      <c r="H5" s="11"/>
      <c r="I5" s="11"/>
      <c r="J5" s="12"/>
      <c r="K5" s="12">
        <f>AB5</f>
        <v>0</v>
      </c>
      <c r="L5" s="13">
        <f>E5+G5+H5+I5+J5+K5</f>
        <v>0</v>
      </c>
      <c r="M5" s="13">
        <f>ROUND(L5*1.055,)</f>
        <v>0</v>
      </c>
      <c r="N5" s="14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5">
        <f aca="true" t="shared" si="0" ref="AB5:AB68">AA5+V5+U5+T5+S5+R5+Q5+P5+O5+N5+W5+X5+Y5+Z5</f>
        <v>0</v>
      </c>
      <c r="AC5" s="5">
        <f aca="true" t="shared" si="1" ref="AC5:AC14">K5-AB5</f>
        <v>0</v>
      </c>
      <c r="AD5" s="15">
        <f>D5-M5</f>
        <v>13715</v>
      </c>
      <c r="AE5" s="17"/>
      <c r="AF5" s="18">
        <f>AE5+M5</f>
        <v>0</v>
      </c>
      <c r="AG5" s="17">
        <f>ROUND(AF5*1.05,0)</f>
        <v>0</v>
      </c>
      <c r="AH5" s="17">
        <f>ROUND(AG5*1.05,)</f>
        <v>0</v>
      </c>
    </row>
    <row r="6" spans="1:34" ht="33.75">
      <c r="A6" s="8" t="s">
        <v>25</v>
      </c>
      <c r="B6" s="9"/>
      <c r="C6" s="9"/>
      <c r="D6" s="9">
        <f aca="true" t="shared" si="2" ref="D6:D69">ROUND((B6*1.06+C6)/2*1.055,2)</f>
        <v>0</v>
      </c>
      <c r="E6" s="10"/>
      <c r="F6" s="11">
        <f aca="true" t="shared" si="3" ref="F6:F69">ROUND(E6*1.055,2)</f>
        <v>0</v>
      </c>
      <c r="G6" s="11"/>
      <c r="H6" s="11"/>
      <c r="I6" s="11"/>
      <c r="J6" s="12"/>
      <c r="K6" s="12">
        <f aca="true" t="shared" si="4" ref="K6:K70">AB6</f>
        <v>0</v>
      </c>
      <c r="L6" s="13">
        <f aca="true" t="shared" si="5" ref="L6:L68">E6+G6+H6+I6+J6+K6</f>
        <v>0</v>
      </c>
      <c r="M6" s="13">
        <f aca="true" t="shared" si="6" ref="M6:M69">ROUND(L6*1.055,)</f>
        <v>0</v>
      </c>
      <c r="N6" s="14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5">
        <f t="shared" si="0"/>
        <v>0</v>
      </c>
      <c r="AC6" s="5">
        <f t="shared" si="1"/>
        <v>0</v>
      </c>
      <c r="AD6" s="15">
        <f aca="true" t="shared" si="7" ref="AD6:AD69">D6-M6</f>
        <v>0</v>
      </c>
      <c r="AE6" s="19"/>
      <c r="AF6" s="18">
        <f aca="true" t="shared" si="8" ref="AF6:AF51">AE6+M6</f>
        <v>0</v>
      </c>
      <c r="AG6" s="17">
        <f aca="true" t="shared" si="9" ref="AG6:AG69">ROUND(AF6*1.05,0)</f>
        <v>0</v>
      </c>
      <c r="AH6" s="17">
        <f aca="true" t="shared" si="10" ref="AH6:AH69">ROUND(AG6*1.05,)</f>
        <v>0</v>
      </c>
    </row>
    <row r="7" spans="1:34" ht="33.75">
      <c r="A7" s="8" t="s">
        <v>26</v>
      </c>
      <c r="B7" s="9"/>
      <c r="C7" s="9"/>
      <c r="D7" s="9">
        <f t="shared" si="2"/>
        <v>0</v>
      </c>
      <c r="E7" s="10"/>
      <c r="F7" s="11">
        <f t="shared" si="3"/>
        <v>0</v>
      </c>
      <c r="G7" s="11"/>
      <c r="H7" s="11"/>
      <c r="I7" s="11"/>
      <c r="J7" s="12"/>
      <c r="K7" s="12">
        <f t="shared" si="4"/>
        <v>0</v>
      </c>
      <c r="L7" s="13">
        <f t="shared" si="5"/>
        <v>0</v>
      </c>
      <c r="M7" s="13">
        <f t="shared" si="6"/>
        <v>0</v>
      </c>
      <c r="N7" s="14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5">
        <f t="shared" si="0"/>
        <v>0</v>
      </c>
      <c r="AC7" s="5">
        <f t="shared" si="1"/>
        <v>0</v>
      </c>
      <c r="AD7" s="15">
        <f t="shared" si="7"/>
        <v>0</v>
      </c>
      <c r="AE7" s="19"/>
      <c r="AF7" s="18">
        <f t="shared" si="8"/>
        <v>0</v>
      </c>
      <c r="AG7" s="17">
        <f t="shared" si="9"/>
        <v>0</v>
      </c>
      <c r="AH7" s="17">
        <f t="shared" si="10"/>
        <v>0</v>
      </c>
    </row>
    <row r="8" spans="1:34" ht="33.75">
      <c r="A8" s="8" t="s">
        <v>27</v>
      </c>
      <c r="B8" s="9"/>
      <c r="C8" s="9"/>
      <c r="D8" s="9">
        <f t="shared" si="2"/>
        <v>0</v>
      </c>
      <c r="E8" s="10"/>
      <c r="F8" s="11">
        <f t="shared" si="3"/>
        <v>0</v>
      </c>
      <c r="G8" s="11"/>
      <c r="H8" s="11"/>
      <c r="I8" s="11"/>
      <c r="J8" s="12"/>
      <c r="K8" s="12">
        <f t="shared" si="4"/>
        <v>0</v>
      </c>
      <c r="L8" s="13">
        <f t="shared" si="5"/>
        <v>0</v>
      </c>
      <c r="M8" s="13">
        <f t="shared" si="6"/>
        <v>0</v>
      </c>
      <c r="N8" s="14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6"/>
      <c r="AB8" s="15">
        <f t="shared" si="0"/>
        <v>0</v>
      </c>
      <c r="AC8" s="5">
        <f t="shared" si="1"/>
        <v>0</v>
      </c>
      <c r="AD8" s="15">
        <f t="shared" si="7"/>
        <v>0</v>
      </c>
      <c r="AE8" s="19"/>
      <c r="AF8" s="18">
        <f t="shared" si="8"/>
        <v>0</v>
      </c>
      <c r="AG8" s="17">
        <f t="shared" si="9"/>
        <v>0</v>
      </c>
      <c r="AH8" s="17">
        <f t="shared" si="10"/>
        <v>0</v>
      </c>
    </row>
    <row r="9" spans="1:34" ht="33.75">
      <c r="A9" s="8" t="s">
        <v>28</v>
      </c>
      <c r="B9" s="9">
        <v>0</v>
      </c>
      <c r="C9" s="9">
        <v>30000</v>
      </c>
      <c r="D9" s="9">
        <f t="shared" si="2"/>
        <v>15825</v>
      </c>
      <c r="E9" s="10"/>
      <c r="F9" s="11">
        <f t="shared" si="3"/>
        <v>0</v>
      </c>
      <c r="G9" s="11"/>
      <c r="H9" s="11"/>
      <c r="I9" s="11"/>
      <c r="J9" s="12"/>
      <c r="K9" s="12">
        <f t="shared" si="4"/>
        <v>0</v>
      </c>
      <c r="L9" s="13">
        <f t="shared" si="5"/>
        <v>0</v>
      </c>
      <c r="M9" s="13">
        <f t="shared" si="6"/>
        <v>0</v>
      </c>
      <c r="N9" s="14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5">
        <f t="shared" si="0"/>
        <v>0</v>
      </c>
      <c r="AC9" s="5">
        <f t="shared" si="1"/>
        <v>0</v>
      </c>
      <c r="AD9" s="15">
        <f t="shared" si="7"/>
        <v>15825</v>
      </c>
      <c r="AE9" s="19"/>
      <c r="AF9" s="18">
        <f t="shared" si="8"/>
        <v>0</v>
      </c>
      <c r="AG9" s="17">
        <f t="shared" si="9"/>
        <v>0</v>
      </c>
      <c r="AH9" s="17">
        <f t="shared" si="10"/>
        <v>0</v>
      </c>
    </row>
    <row r="10" spans="1:34" ht="33.75">
      <c r="A10" s="8" t="s">
        <v>29</v>
      </c>
      <c r="B10" s="9"/>
      <c r="C10" s="9"/>
      <c r="D10" s="9">
        <f t="shared" si="2"/>
        <v>0</v>
      </c>
      <c r="E10" s="10"/>
      <c r="F10" s="11">
        <f t="shared" si="3"/>
        <v>0</v>
      </c>
      <c r="G10" s="11"/>
      <c r="H10" s="11"/>
      <c r="I10" s="11"/>
      <c r="J10" s="12"/>
      <c r="K10" s="12">
        <f t="shared" si="4"/>
        <v>0</v>
      </c>
      <c r="L10" s="13">
        <f t="shared" si="5"/>
        <v>0</v>
      </c>
      <c r="M10" s="13">
        <f t="shared" si="6"/>
        <v>0</v>
      </c>
      <c r="N10" s="14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5">
        <f t="shared" si="0"/>
        <v>0</v>
      </c>
      <c r="AC10" s="5">
        <f t="shared" si="1"/>
        <v>0</v>
      </c>
      <c r="AD10" s="15">
        <f t="shared" si="7"/>
        <v>0</v>
      </c>
      <c r="AE10" s="19"/>
      <c r="AF10" s="18">
        <f t="shared" si="8"/>
        <v>0</v>
      </c>
      <c r="AG10" s="17">
        <f t="shared" si="9"/>
        <v>0</v>
      </c>
      <c r="AH10" s="17">
        <f t="shared" si="10"/>
        <v>0</v>
      </c>
    </row>
    <row r="11" spans="1:34" ht="33.75">
      <c r="A11" s="8" t="s">
        <v>30</v>
      </c>
      <c r="B11" s="9"/>
      <c r="C11" s="9"/>
      <c r="D11" s="9">
        <f t="shared" si="2"/>
        <v>0</v>
      </c>
      <c r="E11" s="10"/>
      <c r="F11" s="11">
        <f t="shared" si="3"/>
        <v>0</v>
      </c>
      <c r="G11" s="11"/>
      <c r="H11" s="11"/>
      <c r="I11" s="11"/>
      <c r="J11" s="12"/>
      <c r="K11" s="12">
        <f t="shared" si="4"/>
        <v>0</v>
      </c>
      <c r="L11" s="13">
        <f t="shared" si="5"/>
        <v>0</v>
      </c>
      <c r="M11" s="13">
        <f t="shared" si="6"/>
        <v>0</v>
      </c>
      <c r="N11" s="14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5">
        <f t="shared" si="0"/>
        <v>0</v>
      </c>
      <c r="AC11" s="5">
        <f t="shared" si="1"/>
        <v>0</v>
      </c>
      <c r="AD11" s="15">
        <f t="shared" si="7"/>
        <v>0</v>
      </c>
      <c r="AE11" s="19"/>
      <c r="AF11" s="18">
        <f t="shared" si="8"/>
        <v>0</v>
      </c>
      <c r="AG11" s="17">
        <f t="shared" si="9"/>
        <v>0</v>
      </c>
      <c r="AH11" s="17">
        <f t="shared" si="10"/>
        <v>0</v>
      </c>
    </row>
    <row r="12" spans="1:34" ht="33.75">
      <c r="A12" s="8" t="s">
        <v>31</v>
      </c>
      <c r="B12" s="9"/>
      <c r="C12" s="9"/>
      <c r="D12" s="9">
        <f t="shared" si="2"/>
        <v>0</v>
      </c>
      <c r="E12" s="10"/>
      <c r="F12" s="11">
        <f t="shared" si="3"/>
        <v>0</v>
      </c>
      <c r="G12" s="11"/>
      <c r="H12" s="11"/>
      <c r="I12" s="11"/>
      <c r="J12" s="12"/>
      <c r="K12" s="12">
        <f t="shared" si="4"/>
        <v>0</v>
      </c>
      <c r="L12" s="13">
        <f t="shared" si="5"/>
        <v>0</v>
      </c>
      <c r="M12" s="13">
        <f t="shared" si="6"/>
        <v>0</v>
      </c>
      <c r="N12" s="14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5">
        <f t="shared" si="0"/>
        <v>0</v>
      </c>
      <c r="AC12" s="5">
        <f t="shared" si="1"/>
        <v>0</v>
      </c>
      <c r="AD12" s="15">
        <f t="shared" si="7"/>
        <v>0</v>
      </c>
      <c r="AE12" s="19"/>
      <c r="AF12" s="18">
        <f t="shared" si="8"/>
        <v>0</v>
      </c>
      <c r="AG12" s="17">
        <f t="shared" si="9"/>
        <v>0</v>
      </c>
      <c r="AH12" s="17">
        <f t="shared" si="10"/>
        <v>0</v>
      </c>
    </row>
    <row r="13" spans="1:34" ht="48.75" customHeight="1">
      <c r="A13" s="8" t="s">
        <v>32</v>
      </c>
      <c r="B13" s="9">
        <v>16000</v>
      </c>
      <c r="C13" s="9">
        <v>0</v>
      </c>
      <c r="D13" s="9">
        <f t="shared" si="2"/>
        <v>8946.4</v>
      </c>
      <c r="E13" s="10"/>
      <c r="F13" s="11">
        <f t="shared" si="3"/>
        <v>0</v>
      </c>
      <c r="G13" s="11"/>
      <c r="H13" s="11"/>
      <c r="I13" s="11"/>
      <c r="J13" s="12"/>
      <c r="K13" s="12">
        <f t="shared" si="4"/>
        <v>0</v>
      </c>
      <c r="L13" s="13">
        <f t="shared" si="5"/>
        <v>0</v>
      </c>
      <c r="M13" s="13">
        <f t="shared" si="6"/>
        <v>0</v>
      </c>
      <c r="N13" s="14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5">
        <f t="shared" si="0"/>
        <v>0</v>
      </c>
      <c r="AC13" s="5">
        <f t="shared" si="1"/>
        <v>0</v>
      </c>
      <c r="AD13" s="15">
        <f t="shared" si="7"/>
        <v>8946.4</v>
      </c>
      <c r="AE13" s="19"/>
      <c r="AF13" s="18">
        <f t="shared" si="8"/>
        <v>0</v>
      </c>
      <c r="AG13" s="17">
        <f t="shared" si="9"/>
        <v>0</v>
      </c>
      <c r="AH13" s="17">
        <f t="shared" si="10"/>
        <v>0</v>
      </c>
    </row>
    <row r="14" spans="1:34" ht="33.75">
      <c r="A14" s="8" t="s">
        <v>33</v>
      </c>
      <c r="B14" s="9">
        <v>0</v>
      </c>
      <c r="C14" s="9">
        <v>5000</v>
      </c>
      <c r="D14" s="9">
        <f t="shared" si="2"/>
        <v>2637.5</v>
      </c>
      <c r="E14" s="10"/>
      <c r="F14" s="11">
        <f t="shared" si="3"/>
        <v>0</v>
      </c>
      <c r="G14" s="11"/>
      <c r="H14" s="11">
        <f>2501+157</f>
        <v>2658</v>
      </c>
      <c r="I14" s="11"/>
      <c r="J14" s="12"/>
      <c r="K14" s="12">
        <f t="shared" si="4"/>
        <v>0</v>
      </c>
      <c r="L14" s="53">
        <f t="shared" si="5"/>
        <v>2658</v>
      </c>
      <c r="M14" s="13">
        <f t="shared" si="6"/>
        <v>2804</v>
      </c>
      <c r="N14" s="14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5">
        <f t="shared" si="0"/>
        <v>0</v>
      </c>
      <c r="AC14" s="5">
        <f t="shared" si="1"/>
        <v>0</v>
      </c>
      <c r="AD14" s="15">
        <f t="shared" si="7"/>
        <v>-166.5</v>
      </c>
      <c r="AE14" s="19"/>
      <c r="AF14" s="18">
        <f t="shared" si="8"/>
        <v>2804</v>
      </c>
      <c r="AG14" s="17">
        <f t="shared" si="9"/>
        <v>2944</v>
      </c>
      <c r="AH14" s="17">
        <f t="shared" si="10"/>
        <v>3091</v>
      </c>
    </row>
    <row r="15" spans="1:34" ht="33.75">
      <c r="A15" s="20" t="s">
        <v>156</v>
      </c>
      <c r="B15" s="9"/>
      <c r="C15" s="9"/>
      <c r="D15" s="9">
        <f t="shared" si="2"/>
        <v>0</v>
      </c>
      <c r="E15" s="10"/>
      <c r="F15" s="11">
        <f t="shared" si="3"/>
        <v>0</v>
      </c>
      <c r="G15" s="11"/>
      <c r="H15" s="11"/>
      <c r="I15" s="11"/>
      <c r="J15" s="12"/>
      <c r="K15" s="12"/>
      <c r="L15" s="13">
        <f t="shared" si="5"/>
        <v>0</v>
      </c>
      <c r="M15" s="13">
        <f t="shared" si="6"/>
        <v>0</v>
      </c>
      <c r="N15" s="14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5"/>
      <c r="AD15" s="15">
        <f t="shared" si="7"/>
        <v>0</v>
      </c>
      <c r="AE15" s="19"/>
      <c r="AF15" s="18">
        <f t="shared" si="8"/>
        <v>0</v>
      </c>
      <c r="AG15" s="17">
        <f t="shared" si="9"/>
        <v>0</v>
      </c>
      <c r="AH15" s="17">
        <f t="shared" si="10"/>
        <v>0</v>
      </c>
    </row>
    <row r="16" spans="1:34" ht="33.75">
      <c r="A16" s="8" t="s">
        <v>34</v>
      </c>
      <c r="B16" s="9">
        <v>106820</v>
      </c>
      <c r="C16" s="9">
        <v>179049.52</v>
      </c>
      <c r="D16" s="9">
        <f t="shared" si="2"/>
        <v>154177.02</v>
      </c>
      <c r="E16" s="10"/>
      <c r="F16" s="11">
        <f t="shared" si="3"/>
        <v>0</v>
      </c>
      <c r="G16" s="11"/>
      <c r="H16" s="11"/>
      <c r="I16" s="11"/>
      <c r="J16" s="12"/>
      <c r="K16" s="12">
        <f t="shared" si="4"/>
        <v>0</v>
      </c>
      <c r="L16" s="13">
        <f t="shared" si="5"/>
        <v>0</v>
      </c>
      <c r="M16" s="13">
        <f t="shared" si="6"/>
        <v>0</v>
      </c>
      <c r="N16" s="14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5">
        <f t="shared" si="0"/>
        <v>0</v>
      </c>
      <c r="AC16" s="5">
        <f aca="true" t="shared" si="11" ref="AC16:AC79">K16-AB16</f>
        <v>0</v>
      </c>
      <c r="AD16" s="15">
        <f t="shared" si="7"/>
        <v>154177.02</v>
      </c>
      <c r="AE16" s="19"/>
      <c r="AF16" s="18">
        <f t="shared" si="8"/>
        <v>0</v>
      </c>
      <c r="AG16" s="17">
        <f t="shared" si="9"/>
        <v>0</v>
      </c>
      <c r="AH16" s="17">
        <f t="shared" si="10"/>
        <v>0</v>
      </c>
    </row>
    <row r="17" spans="1:34" ht="33.75">
      <c r="A17" s="8" t="s">
        <v>35</v>
      </c>
      <c r="B17" s="9"/>
      <c r="C17" s="9"/>
      <c r="D17" s="9">
        <f t="shared" si="2"/>
        <v>0</v>
      </c>
      <c r="E17" s="10"/>
      <c r="F17" s="11">
        <f t="shared" si="3"/>
        <v>0</v>
      </c>
      <c r="G17" s="11"/>
      <c r="H17" s="11"/>
      <c r="I17" s="11"/>
      <c r="J17" s="12"/>
      <c r="K17" s="12">
        <f t="shared" si="4"/>
        <v>25000</v>
      </c>
      <c r="L17" s="53">
        <f t="shared" si="5"/>
        <v>25000</v>
      </c>
      <c r="M17" s="13">
        <f t="shared" si="6"/>
        <v>26375</v>
      </c>
      <c r="N17" s="14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>
        <v>25000</v>
      </c>
      <c r="AB17" s="15">
        <f t="shared" si="0"/>
        <v>25000</v>
      </c>
      <c r="AC17" s="5">
        <f t="shared" si="11"/>
        <v>0</v>
      </c>
      <c r="AD17" s="15">
        <f t="shared" si="7"/>
        <v>-26375</v>
      </c>
      <c r="AE17" s="19"/>
      <c r="AF17" s="18">
        <f t="shared" si="8"/>
        <v>26375</v>
      </c>
      <c r="AG17" s="17">
        <f t="shared" si="9"/>
        <v>27694</v>
      </c>
      <c r="AH17" s="17">
        <f t="shared" si="10"/>
        <v>29079</v>
      </c>
    </row>
    <row r="18" spans="1:34" ht="33.75">
      <c r="A18" s="8" t="s">
        <v>36</v>
      </c>
      <c r="B18" s="9"/>
      <c r="C18" s="9"/>
      <c r="D18" s="9">
        <f t="shared" si="2"/>
        <v>0</v>
      </c>
      <c r="E18" s="10"/>
      <c r="F18" s="11">
        <f t="shared" si="3"/>
        <v>0</v>
      </c>
      <c r="G18" s="11"/>
      <c r="H18" s="11"/>
      <c r="I18" s="11"/>
      <c r="J18" s="12"/>
      <c r="K18" s="12">
        <f t="shared" si="4"/>
        <v>25000</v>
      </c>
      <c r="L18" s="53">
        <f t="shared" si="5"/>
        <v>25000</v>
      </c>
      <c r="M18" s="13">
        <f t="shared" si="6"/>
        <v>26375</v>
      </c>
      <c r="N18" s="14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>
        <v>25000</v>
      </c>
      <c r="AB18" s="15">
        <f t="shared" si="0"/>
        <v>25000</v>
      </c>
      <c r="AC18" s="5">
        <f t="shared" si="11"/>
        <v>0</v>
      </c>
      <c r="AD18" s="15">
        <f t="shared" si="7"/>
        <v>-26375</v>
      </c>
      <c r="AE18" s="19"/>
      <c r="AF18" s="18">
        <f t="shared" si="8"/>
        <v>26375</v>
      </c>
      <c r="AG18" s="17">
        <f t="shared" si="9"/>
        <v>27694</v>
      </c>
      <c r="AH18" s="17">
        <f t="shared" si="10"/>
        <v>29079</v>
      </c>
    </row>
    <row r="19" spans="1:34" ht="33.75">
      <c r="A19" s="8" t="s">
        <v>37</v>
      </c>
      <c r="B19" s="9"/>
      <c r="C19" s="9"/>
      <c r="D19" s="9">
        <f t="shared" si="2"/>
        <v>0</v>
      </c>
      <c r="E19" s="10"/>
      <c r="F19" s="11">
        <f t="shared" si="3"/>
        <v>0</v>
      </c>
      <c r="G19" s="11"/>
      <c r="H19" s="11"/>
      <c r="I19" s="11"/>
      <c r="J19" s="12"/>
      <c r="K19" s="12">
        <f t="shared" si="4"/>
        <v>0</v>
      </c>
      <c r="L19" s="13">
        <f t="shared" si="5"/>
        <v>0</v>
      </c>
      <c r="M19" s="13">
        <f t="shared" si="6"/>
        <v>0</v>
      </c>
      <c r="N19" s="14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5">
        <f t="shared" si="0"/>
        <v>0</v>
      </c>
      <c r="AC19" s="5">
        <f t="shared" si="11"/>
        <v>0</v>
      </c>
      <c r="AD19" s="15">
        <f t="shared" si="7"/>
        <v>0</v>
      </c>
      <c r="AE19" s="19"/>
      <c r="AF19" s="18">
        <f t="shared" si="8"/>
        <v>0</v>
      </c>
      <c r="AG19" s="17">
        <f t="shared" si="9"/>
        <v>0</v>
      </c>
      <c r="AH19" s="17">
        <f t="shared" si="10"/>
        <v>0</v>
      </c>
    </row>
    <row r="20" spans="1:34" ht="33.75">
      <c r="A20" s="8" t="s">
        <v>38</v>
      </c>
      <c r="B20" s="9">
        <v>20000</v>
      </c>
      <c r="C20" s="9">
        <v>0</v>
      </c>
      <c r="D20" s="9">
        <f t="shared" si="2"/>
        <v>11183</v>
      </c>
      <c r="E20" s="10"/>
      <c r="F20" s="11">
        <f t="shared" si="3"/>
        <v>0</v>
      </c>
      <c r="G20" s="11"/>
      <c r="H20" s="11"/>
      <c r="I20" s="11"/>
      <c r="J20" s="12"/>
      <c r="K20" s="12">
        <f t="shared" si="4"/>
        <v>0</v>
      </c>
      <c r="L20" s="13">
        <f t="shared" si="5"/>
        <v>0</v>
      </c>
      <c r="M20" s="13">
        <f t="shared" si="6"/>
        <v>0</v>
      </c>
      <c r="N20" s="14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5">
        <f t="shared" si="0"/>
        <v>0</v>
      </c>
      <c r="AC20" s="5">
        <f t="shared" si="11"/>
        <v>0</v>
      </c>
      <c r="AD20" s="15">
        <f t="shared" si="7"/>
        <v>11183</v>
      </c>
      <c r="AE20" s="19"/>
      <c r="AF20" s="18">
        <f t="shared" si="8"/>
        <v>0</v>
      </c>
      <c r="AG20" s="17">
        <f t="shared" si="9"/>
        <v>0</v>
      </c>
      <c r="AH20" s="17">
        <f t="shared" si="10"/>
        <v>0</v>
      </c>
    </row>
    <row r="21" spans="1:34" ht="33.75">
      <c r="A21" s="8" t="s">
        <v>39</v>
      </c>
      <c r="B21" s="9"/>
      <c r="C21" s="9"/>
      <c r="D21" s="9">
        <f t="shared" si="2"/>
        <v>0</v>
      </c>
      <c r="E21" s="10"/>
      <c r="F21" s="11">
        <f t="shared" si="3"/>
        <v>0</v>
      </c>
      <c r="G21" s="11"/>
      <c r="H21" s="11"/>
      <c r="I21" s="11"/>
      <c r="J21" s="12"/>
      <c r="K21" s="12">
        <f t="shared" si="4"/>
        <v>0</v>
      </c>
      <c r="L21" s="13">
        <f t="shared" si="5"/>
        <v>0</v>
      </c>
      <c r="M21" s="13">
        <f t="shared" si="6"/>
        <v>0</v>
      </c>
      <c r="N21" s="14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5">
        <f t="shared" si="0"/>
        <v>0</v>
      </c>
      <c r="AC21" s="5">
        <f t="shared" si="11"/>
        <v>0</v>
      </c>
      <c r="AD21" s="15">
        <f t="shared" si="7"/>
        <v>0</v>
      </c>
      <c r="AE21" s="19"/>
      <c r="AF21" s="18">
        <f t="shared" si="8"/>
        <v>0</v>
      </c>
      <c r="AG21" s="17">
        <f t="shared" si="9"/>
        <v>0</v>
      </c>
      <c r="AH21" s="17">
        <f t="shared" si="10"/>
        <v>0</v>
      </c>
    </row>
    <row r="22" spans="1:34" ht="33.75">
      <c r="A22" s="8" t="s">
        <v>40</v>
      </c>
      <c r="B22" s="9"/>
      <c r="C22" s="9"/>
      <c r="D22" s="9">
        <f t="shared" si="2"/>
        <v>0</v>
      </c>
      <c r="E22" s="10"/>
      <c r="F22" s="11">
        <f t="shared" si="3"/>
        <v>0</v>
      </c>
      <c r="G22" s="11"/>
      <c r="H22" s="11"/>
      <c r="I22" s="11"/>
      <c r="J22" s="12"/>
      <c r="K22" s="12">
        <f t="shared" si="4"/>
        <v>0</v>
      </c>
      <c r="L22" s="13">
        <f t="shared" si="5"/>
        <v>0</v>
      </c>
      <c r="M22" s="13">
        <f t="shared" si="6"/>
        <v>0</v>
      </c>
      <c r="N22" s="14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5">
        <f t="shared" si="0"/>
        <v>0</v>
      </c>
      <c r="AC22" s="5">
        <f t="shared" si="11"/>
        <v>0</v>
      </c>
      <c r="AD22" s="15">
        <f t="shared" si="7"/>
        <v>0</v>
      </c>
      <c r="AE22" s="19"/>
      <c r="AF22" s="18">
        <f t="shared" si="8"/>
        <v>0</v>
      </c>
      <c r="AG22" s="17">
        <f t="shared" si="9"/>
        <v>0</v>
      </c>
      <c r="AH22" s="17">
        <f t="shared" si="10"/>
        <v>0</v>
      </c>
    </row>
    <row r="23" spans="1:34" ht="33.75">
      <c r="A23" s="8" t="s">
        <v>41</v>
      </c>
      <c r="B23" s="9"/>
      <c r="C23" s="9"/>
      <c r="D23" s="9">
        <f t="shared" si="2"/>
        <v>0</v>
      </c>
      <c r="E23" s="10"/>
      <c r="F23" s="11">
        <f t="shared" si="3"/>
        <v>0</v>
      </c>
      <c r="G23" s="11"/>
      <c r="H23" s="11"/>
      <c r="I23" s="11"/>
      <c r="J23" s="12"/>
      <c r="K23" s="12">
        <f t="shared" si="4"/>
        <v>0</v>
      </c>
      <c r="L23" s="13">
        <f t="shared" si="5"/>
        <v>0</v>
      </c>
      <c r="M23" s="13">
        <f t="shared" si="6"/>
        <v>0</v>
      </c>
      <c r="N23" s="14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5">
        <f t="shared" si="0"/>
        <v>0</v>
      </c>
      <c r="AC23" s="5">
        <f t="shared" si="11"/>
        <v>0</v>
      </c>
      <c r="AD23" s="15">
        <f t="shared" si="7"/>
        <v>0</v>
      </c>
      <c r="AE23" s="19"/>
      <c r="AF23" s="18">
        <f t="shared" si="8"/>
        <v>0</v>
      </c>
      <c r="AG23" s="17">
        <f t="shared" si="9"/>
        <v>0</v>
      </c>
      <c r="AH23" s="17">
        <f t="shared" si="10"/>
        <v>0</v>
      </c>
    </row>
    <row r="24" spans="1:34" ht="33.75">
      <c r="A24" s="8" t="s">
        <v>42</v>
      </c>
      <c r="B24" s="9"/>
      <c r="C24" s="9"/>
      <c r="D24" s="9">
        <f t="shared" si="2"/>
        <v>0</v>
      </c>
      <c r="E24" s="10"/>
      <c r="F24" s="11">
        <f t="shared" si="3"/>
        <v>0</v>
      </c>
      <c r="G24" s="11"/>
      <c r="H24" s="11"/>
      <c r="I24" s="11"/>
      <c r="J24" s="12"/>
      <c r="K24" s="12">
        <f t="shared" si="4"/>
        <v>0</v>
      </c>
      <c r="L24" s="13">
        <f t="shared" si="5"/>
        <v>0</v>
      </c>
      <c r="M24" s="13">
        <f t="shared" si="6"/>
        <v>0</v>
      </c>
      <c r="N24" s="14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5">
        <f t="shared" si="0"/>
        <v>0</v>
      </c>
      <c r="AC24" s="5">
        <f t="shared" si="11"/>
        <v>0</v>
      </c>
      <c r="AD24" s="15">
        <f t="shared" si="7"/>
        <v>0</v>
      </c>
      <c r="AE24" s="19"/>
      <c r="AF24" s="18">
        <f t="shared" si="8"/>
        <v>0</v>
      </c>
      <c r="AG24" s="17">
        <f t="shared" si="9"/>
        <v>0</v>
      </c>
      <c r="AH24" s="17">
        <f t="shared" si="10"/>
        <v>0</v>
      </c>
    </row>
    <row r="25" spans="1:34" ht="33.75">
      <c r="A25" s="8" t="s">
        <v>43</v>
      </c>
      <c r="B25" s="9"/>
      <c r="C25" s="9"/>
      <c r="D25" s="9">
        <f t="shared" si="2"/>
        <v>0</v>
      </c>
      <c r="E25" s="10"/>
      <c r="F25" s="11">
        <f t="shared" si="3"/>
        <v>0</v>
      </c>
      <c r="G25" s="11"/>
      <c r="H25" s="11"/>
      <c r="I25" s="11"/>
      <c r="J25" s="12"/>
      <c r="K25" s="12">
        <f t="shared" si="4"/>
        <v>0</v>
      </c>
      <c r="L25" s="13">
        <f t="shared" si="5"/>
        <v>0</v>
      </c>
      <c r="M25" s="13">
        <f t="shared" si="6"/>
        <v>0</v>
      </c>
      <c r="N25" s="14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5">
        <f t="shared" si="0"/>
        <v>0</v>
      </c>
      <c r="AC25" s="5">
        <f t="shared" si="11"/>
        <v>0</v>
      </c>
      <c r="AD25" s="15">
        <f t="shared" si="7"/>
        <v>0</v>
      </c>
      <c r="AE25" s="19"/>
      <c r="AF25" s="18">
        <f t="shared" si="8"/>
        <v>0</v>
      </c>
      <c r="AG25" s="17">
        <f t="shared" si="9"/>
        <v>0</v>
      </c>
      <c r="AH25" s="17">
        <f t="shared" si="10"/>
        <v>0</v>
      </c>
    </row>
    <row r="26" spans="1:34" ht="33.75">
      <c r="A26" s="8" t="s">
        <v>44</v>
      </c>
      <c r="B26" s="9"/>
      <c r="C26" s="9"/>
      <c r="D26" s="9">
        <f t="shared" si="2"/>
        <v>0</v>
      </c>
      <c r="E26" s="10"/>
      <c r="F26" s="11">
        <f t="shared" si="3"/>
        <v>0</v>
      </c>
      <c r="G26" s="11"/>
      <c r="H26" s="11"/>
      <c r="I26" s="11"/>
      <c r="J26" s="12"/>
      <c r="K26" s="12">
        <f t="shared" si="4"/>
        <v>0</v>
      </c>
      <c r="L26" s="13">
        <f t="shared" si="5"/>
        <v>0</v>
      </c>
      <c r="M26" s="13">
        <f t="shared" si="6"/>
        <v>0</v>
      </c>
      <c r="N26" s="14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5">
        <f t="shared" si="0"/>
        <v>0</v>
      </c>
      <c r="AC26" s="5">
        <f t="shared" si="11"/>
        <v>0</v>
      </c>
      <c r="AD26" s="15">
        <f t="shared" si="7"/>
        <v>0</v>
      </c>
      <c r="AE26" s="19"/>
      <c r="AF26" s="18">
        <f t="shared" si="8"/>
        <v>0</v>
      </c>
      <c r="AG26" s="17">
        <f t="shared" si="9"/>
        <v>0</v>
      </c>
      <c r="AH26" s="17">
        <f t="shared" si="10"/>
        <v>0</v>
      </c>
    </row>
    <row r="27" spans="1:34" ht="33.75">
      <c r="A27" s="8" t="s">
        <v>45</v>
      </c>
      <c r="B27" s="9"/>
      <c r="C27" s="9"/>
      <c r="D27" s="9">
        <f t="shared" si="2"/>
        <v>0</v>
      </c>
      <c r="E27" s="10"/>
      <c r="F27" s="11">
        <f t="shared" si="3"/>
        <v>0</v>
      </c>
      <c r="G27" s="11"/>
      <c r="H27" s="11"/>
      <c r="I27" s="11"/>
      <c r="J27" s="12"/>
      <c r="K27" s="12">
        <f t="shared" si="4"/>
        <v>0</v>
      </c>
      <c r="L27" s="13">
        <f t="shared" si="5"/>
        <v>0</v>
      </c>
      <c r="M27" s="13">
        <f t="shared" si="6"/>
        <v>0</v>
      </c>
      <c r="N27" s="14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5">
        <f t="shared" si="0"/>
        <v>0</v>
      </c>
      <c r="AC27" s="5">
        <f t="shared" si="11"/>
        <v>0</v>
      </c>
      <c r="AD27" s="15">
        <f t="shared" si="7"/>
        <v>0</v>
      </c>
      <c r="AE27" s="19"/>
      <c r="AF27" s="18">
        <f t="shared" si="8"/>
        <v>0</v>
      </c>
      <c r="AG27" s="17">
        <f t="shared" si="9"/>
        <v>0</v>
      </c>
      <c r="AH27" s="17">
        <f t="shared" si="10"/>
        <v>0</v>
      </c>
    </row>
    <row r="28" spans="1:34" ht="33.75">
      <c r="A28" s="8" t="s">
        <v>46</v>
      </c>
      <c r="B28" s="9"/>
      <c r="C28" s="9"/>
      <c r="D28" s="9">
        <f t="shared" si="2"/>
        <v>0</v>
      </c>
      <c r="E28" s="10"/>
      <c r="F28" s="11">
        <f t="shared" si="3"/>
        <v>0</v>
      </c>
      <c r="G28" s="11"/>
      <c r="H28" s="11"/>
      <c r="I28" s="11"/>
      <c r="J28" s="12"/>
      <c r="K28" s="12">
        <f t="shared" si="4"/>
        <v>0</v>
      </c>
      <c r="L28" s="13">
        <f t="shared" si="5"/>
        <v>0</v>
      </c>
      <c r="M28" s="13">
        <f t="shared" si="6"/>
        <v>0</v>
      </c>
      <c r="N28" s="14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5">
        <f t="shared" si="0"/>
        <v>0</v>
      </c>
      <c r="AC28" s="5">
        <f t="shared" si="11"/>
        <v>0</v>
      </c>
      <c r="AD28" s="15">
        <f t="shared" si="7"/>
        <v>0</v>
      </c>
      <c r="AE28" s="19"/>
      <c r="AF28" s="18">
        <f t="shared" si="8"/>
        <v>0</v>
      </c>
      <c r="AG28" s="17">
        <f t="shared" si="9"/>
        <v>0</v>
      </c>
      <c r="AH28" s="17">
        <f t="shared" si="10"/>
        <v>0</v>
      </c>
    </row>
    <row r="29" spans="1:34" ht="33.75">
      <c r="A29" s="8" t="s">
        <v>47</v>
      </c>
      <c r="B29" s="9"/>
      <c r="C29" s="9"/>
      <c r="D29" s="9">
        <f t="shared" si="2"/>
        <v>0</v>
      </c>
      <c r="E29" s="10"/>
      <c r="F29" s="11">
        <f t="shared" si="3"/>
        <v>0</v>
      </c>
      <c r="G29" s="11"/>
      <c r="H29" s="11"/>
      <c r="I29" s="11"/>
      <c r="J29" s="12"/>
      <c r="K29" s="12">
        <f t="shared" si="4"/>
        <v>0</v>
      </c>
      <c r="L29" s="13">
        <f t="shared" si="5"/>
        <v>0</v>
      </c>
      <c r="M29" s="13">
        <f t="shared" si="6"/>
        <v>0</v>
      </c>
      <c r="N29" s="14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5">
        <f t="shared" si="0"/>
        <v>0</v>
      </c>
      <c r="AC29" s="5">
        <f t="shared" si="11"/>
        <v>0</v>
      </c>
      <c r="AD29" s="15">
        <f t="shared" si="7"/>
        <v>0</v>
      </c>
      <c r="AE29" s="19"/>
      <c r="AF29" s="18">
        <f t="shared" si="8"/>
        <v>0</v>
      </c>
      <c r="AG29" s="17">
        <f t="shared" si="9"/>
        <v>0</v>
      </c>
      <c r="AH29" s="17">
        <f t="shared" si="10"/>
        <v>0</v>
      </c>
    </row>
    <row r="30" spans="1:34" ht="33.75">
      <c r="A30" s="8" t="s">
        <v>48</v>
      </c>
      <c r="B30" s="9"/>
      <c r="C30" s="9"/>
      <c r="D30" s="9">
        <f t="shared" si="2"/>
        <v>0</v>
      </c>
      <c r="E30" s="10"/>
      <c r="F30" s="11">
        <f t="shared" si="3"/>
        <v>0</v>
      </c>
      <c r="G30" s="11"/>
      <c r="H30" s="11"/>
      <c r="I30" s="11"/>
      <c r="J30" s="12"/>
      <c r="K30" s="12">
        <f t="shared" si="4"/>
        <v>0</v>
      </c>
      <c r="L30" s="13">
        <f t="shared" si="5"/>
        <v>0</v>
      </c>
      <c r="M30" s="13">
        <f t="shared" si="6"/>
        <v>0</v>
      </c>
      <c r="N30" s="14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5">
        <f t="shared" si="0"/>
        <v>0</v>
      </c>
      <c r="AC30" s="5">
        <f t="shared" si="11"/>
        <v>0</v>
      </c>
      <c r="AD30" s="15">
        <f t="shared" si="7"/>
        <v>0</v>
      </c>
      <c r="AE30" s="19"/>
      <c r="AF30" s="18">
        <f t="shared" si="8"/>
        <v>0</v>
      </c>
      <c r="AG30" s="17">
        <f t="shared" si="9"/>
        <v>0</v>
      </c>
      <c r="AH30" s="17">
        <f t="shared" si="10"/>
        <v>0</v>
      </c>
    </row>
    <row r="31" spans="1:34" ht="33.75">
      <c r="A31" s="8" t="s">
        <v>49</v>
      </c>
      <c r="B31" s="9"/>
      <c r="C31" s="9"/>
      <c r="D31" s="9">
        <f t="shared" si="2"/>
        <v>0</v>
      </c>
      <c r="E31" s="10"/>
      <c r="F31" s="11">
        <f t="shared" si="3"/>
        <v>0</v>
      </c>
      <c r="G31" s="11"/>
      <c r="H31" s="11"/>
      <c r="I31" s="11"/>
      <c r="J31" s="12"/>
      <c r="K31" s="12">
        <f t="shared" si="4"/>
        <v>0</v>
      </c>
      <c r="L31" s="13">
        <f t="shared" si="5"/>
        <v>0</v>
      </c>
      <c r="M31" s="13">
        <f t="shared" si="6"/>
        <v>0</v>
      </c>
      <c r="N31" s="14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5">
        <f t="shared" si="0"/>
        <v>0</v>
      </c>
      <c r="AC31" s="5">
        <f t="shared" si="11"/>
        <v>0</v>
      </c>
      <c r="AD31" s="15">
        <f t="shared" si="7"/>
        <v>0</v>
      </c>
      <c r="AE31" s="19"/>
      <c r="AF31" s="18">
        <f t="shared" si="8"/>
        <v>0</v>
      </c>
      <c r="AG31" s="17">
        <f t="shared" si="9"/>
        <v>0</v>
      </c>
      <c r="AH31" s="17">
        <f t="shared" si="10"/>
        <v>0</v>
      </c>
    </row>
    <row r="32" spans="1:34" ht="33.75">
      <c r="A32" s="8" t="s">
        <v>50</v>
      </c>
      <c r="B32" s="9"/>
      <c r="C32" s="9"/>
      <c r="D32" s="9">
        <f t="shared" si="2"/>
        <v>0</v>
      </c>
      <c r="E32" s="10"/>
      <c r="F32" s="11">
        <f t="shared" si="3"/>
        <v>0</v>
      </c>
      <c r="G32" s="11">
        <f>365818.84+125483.69</f>
        <v>491302.53</v>
      </c>
      <c r="H32" s="11">
        <v>20000</v>
      </c>
      <c r="I32" s="11"/>
      <c r="J32" s="12"/>
      <c r="K32" s="12">
        <f t="shared" si="4"/>
        <v>14125.56</v>
      </c>
      <c r="L32" s="13">
        <f t="shared" si="5"/>
        <v>525428.0900000001</v>
      </c>
      <c r="M32" s="13">
        <f t="shared" si="6"/>
        <v>554327</v>
      </c>
      <c r="N32" s="14"/>
      <c r="O32" s="15">
        <v>1664.4</v>
      </c>
      <c r="P32" s="15">
        <v>12461.16</v>
      </c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5">
        <f t="shared" si="0"/>
        <v>14125.56</v>
      </c>
      <c r="AC32" s="5">
        <f t="shared" si="11"/>
        <v>0</v>
      </c>
      <c r="AD32" s="15">
        <f t="shared" si="7"/>
        <v>-554327</v>
      </c>
      <c r="AE32" s="19"/>
      <c r="AF32" s="18">
        <f t="shared" si="8"/>
        <v>554327</v>
      </c>
      <c r="AG32" s="17">
        <f t="shared" si="9"/>
        <v>582043</v>
      </c>
      <c r="AH32" s="17">
        <f t="shared" si="10"/>
        <v>611145</v>
      </c>
    </row>
    <row r="33" spans="1:34" ht="33.75">
      <c r="A33" s="8" t="s">
        <v>51</v>
      </c>
      <c r="B33" s="9">
        <v>0</v>
      </c>
      <c r="C33" s="9">
        <v>100000</v>
      </c>
      <c r="D33" s="9">
        <f t="shared" si="2"/>
        <v>52750</v>
      </c>
      <c r="E33" s="10"/>
      <c r="F33" s="11">
        <f t="shared" si="3"/>
        <v>0</v>
      </c>
      <c r="G33" s="11"/>
      <c r="H33" s="11"/>
      <c r="I33" s="11"/>
      <c r="J33" s="12"/>
      <c r="K33" s="12">
        <f t="shared" si="4"/>
        <v>0</v>
      </c>
      <c r="L33" s="13">
        <f t="shared" si="5"/>
        <v>0</v>
      </c>
      <c r="M33" s="13">
        <f t="shared" si="6"/>
        <v>0</v>
      </c>
      <c r="N33" s="14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5">
        <f t="shared" si="0"/>
        <v>0</v>
      </c>
      <c r="AC33" s="5">
        <f t="shared" si="11"/>
        <v>0</v>
      </c>
      <c r="AD33" s="15">
        <f t="shared" si="7"/>
        <v>52750</v>
      </c>
      <c r="AE33" s="19"/>
      <c r="AF33" s="18">
        <f t="shared" si="8"/>
        <v>0</v>
      </c>
      <c r="AG33" s="17">
        <f t="shared" si="9"/>
        <v>0</v>
      </c>
      <c r="AH33" s="17">
        <f t="shared" si="10"/>
        <v>0</v>
      </c>
    </row>
    <row r="34" spans="1:34" ht="33.75">
      <c r="A34" s="8" t="s">
        <v>52</v>
      </c>
      <c r="B34" s="9"/>
      <c r="C34" s="9"/>
      <c r="D34" s="9">
        <f t="shared" si="2"/>
        <v>0</v>
      </c>
      <c r="E34" s="10"/>
      <c r="F34" s="11">
        <f t="shared" si="3"/>
        <v>0</v>
      </c>
      <c r="G34" s="11"/>
      <c r="H34" s="11"/>
      <c r="I34" s="11"/>
      <c r="J34" s="12"/>
      <c r="K34" s="12">
        <f t="shared" si="4"/>
        <v>0</v>
      </c>
      <c r="L34" s="13">
        <f t="shared" si="5"/>
        <v>0</v>
      </c>
      <c r="M34" s="13">
        <f t="shared" si="6"/>
        <v>0</v>
      </c>
      <c r="N34" s="14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5">
        <f t="shared" si="0"/>
        <v>0</v>
      </c>
      <c r="AC34" s="5">
        <f t="shared" si="11"/>
        <v>0</v>
      </c>
      <c r="AD34" s="15">
        <f t="shared" si="7"/>
        <v>0</v>
      </c>
      <c r="AE34" s="19"/>
      <c r="AF34" s="18">
        <f t="shared" si="8"/>
        <v>0</v>
      </c>
      <c r="AG34" s="17">
        <f t="shared" si="9"/>
        <v>0</v>
      </c>
      <c r="AH34" s="17">
        <f t="shared" si="10"/>
        <v>0</v>
      </c>
    </row>
    <row r="35" spans="1:34" ht="33.75">
      <c r="A35" s="8" t="s">
        <v>53</v>
      </c>
      <c r="B35" s="9"/>
      <c r="C35" s="9"/>
      <c r="D35" s="9">
        <f t="shared" si="2"/>
        <v>0</v>
      </c>
      <c r="E35" s="10"/>
      <c r="F35" s="11">
        <f t="shared" si="3"/>
        <v>0</v>
      </c>
      <c r="G35" s="11"/>
      <c r="H35" s="11"/>
      <c r="I35" s="11"/>
      <c r="J35" s="12"/>
      <c r="K35" s="12">
        <f t="shared" si="4"/>
        <v>0</v>
      </c>
      <c r="L35" s="13">
        <f t="shared" si="5"/>
        <v>0</v>
      </c>
      <c r="M35" s="13">
        <f t="shared" si="6"/>
        <v>0</v>
      </c>
      <c r="N35" s="14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5">
        <f t="shared" si="0"/>
        <v>0</v>
      </c>
      <c r="AC35" s="5">
        <f t="shared" si="11"/>
        <v>0</v>
      </c>
      <c r="AD35" s="15">
        <f t="shared" si="7"/>
        <v>0</v>
      </c>
      <c r="AE35" s="19"/>
      <c r="AF35" s="18">
        <f t="shared" si="8"/>
        <v>0</v>
      </c>
      <c r="AG35" s="17">
        <f t="shared" si="9"/>
        <v>0</v>
      </c>
      <c r="AH35" s="17">
        <f t="shared" si="10"/>
        <v>0</v>
      </c>
    </row>
    <row r="36" spans="1:34" ht="22.5">
      <c r="A36" s="8" t="s">
        <v>54</v>
      </c>
      <c r="B36" s="9">
        <v>0</v>
      </c>
      <c r="C36" s="9">
        <v>25000</v>
      </c>
      <c r="D36" s="9">
        <f t="shared" si="2"/>
        <v>13187.5</v>
      </c>
      <c r="E36" s="10"/>
      <c r="F36" s="11">
        <f t="shared" si="3"/>
        <v>0</v>
      </c>
      <c r="G36" s="11"/>
      <c r="H36" s="11"/>
      <c r="I36" s="11"/>
      <c r="J36" s="12"/>
      <c r="K36" s="12">
        <f t="shared" si="4"/>
        <v>50416</v>
      </c>
      <c r="L36" s="53">
        <f t="shared" si="5"/>
        <v>50416</v>
      </c>
      <c r="M36" s="13">
        <f t="shared" si="6"/>
        <v>53189</v>
      </c>
      <c r="N36" s="14">
        <v>25416</v>
      </c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>
        <v>25000</v>
      </c>
      <c r="AB36" s="15">
        <f t="shared" si="0"/>
        <v>50416</v>
      </c>
      <c r="AC36" s="5">
        <f t="shared" si="11"/>
        <v>0</v>
      </c>
      <c r="AD36" s="15">
        <f t="shared" si="7"/>
        <v>-40001.5</v>
      </c>
      <c r="AE36" s="19"/>
      <c r="AF36" s="18">
        <f t="shared" si="8"/>
        <v>53189</v>
      </c>
      <c r="AG36" s="17">
        <f t="shared" si="9"/>
        <v>55848</v>
      </c>
      <c r="AH36" s="17">
        <f t="shared" si="10"/>
        <v>58640</v>
      </c>
    </row>
    <row r="37" spans="1:34" ht="33.75">
      <c r="A37" s="8" t="s">
        <v>55</v>
      </c>
      <c r="B37" s="9"/>
      <c r="C37" s="9"/>
      <c r="D37" s="9">
        <f t="shared" si="2"/>
        <v>0</v>
      </c>
      <c r="E37" s="10"/>
      <c r="F37" s="11">
        <f t="shared" si="3"/>
        <v>0</v>
      </c>
      <c r="G37" s="11"/>
      <c r="H37" s="11"/>
      <c r="I37" s="11"/>
      <c r="J37" s="12"/>
      <c r="K37" s="12">
        <f t="shared" si="4"/>
        <v>0</v>
      </c>
      <c r="L37" s="13">
        <f t="shared" si="5"/>
        <v>0</v>
      </c>
      <c r="M37" s="13">
        <f t="shared" si="6"/>
        <v>0</v>
      </c>
      <c r="N37" s="14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5">
        <f t="shared" si="0"/>
        <v>0</v>
      </c>
      <c r="AC37" s="5">
        <f t="shared" si="11"/>
        <v>0</v>
      </c>
      <c r="AD37" s="15">
        <f t="shared" si="7"/>
        <v>0</v>
      </c>
      <c r="AE37" s="19"/>
      <c r="AF37" s="18">
        <f t="shared" si="8"/>
        <v>0</v>
      </c>
      <c r="AG37" s="17">
        <f t="shared" si="9"/>
        <v>0</v>
      </c>
      <c r="AH37" s="17">
        <f t="shared" si="10"/>
        <v>0</v>
      </c>
    </row>
    <row r="38" spans="1:34" ht="22.5">
      <c r="A38" s="8" t="s">
        <v>56</v>
      </c>
      <c r="B38" s="9">
        <v>20000</v>
      </c>
      <c r="C38" s="9">
        <v>0</v>
      </c>
      <c r="D38" s="9">
        <f t="shared" si="2"/>
        <v>11183</v>
      </c>
      <c r="E38" s="10"/>
      <c r="F38" s="11">
        <f t="shared" si="3"/>
        <v>0</v>
      </c>
      <c r="G38" s="11"/>
      <c r="H38" s="11"/>
      <c r="I38" s="11"/>
      <c r="J38" s="12"/>
      <c r="K38" s="12">
        <f t="shared" si="4"/>
        <v>0</v>
      </c>
      <c r="L38" s="13">
        <f t="shared" si="5"/>
        <v>0</v>
      </c>
      <c r="M38" s="13">
        <f t="shared" si="6"/>
        <v>0</v>
      </c>
      <c r="N38" s="14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5">
        <f t="shared" si="0"/>
        <v>0</v>
      </c>
      <c r="AC38" s="5">
        <f t="shared" si="11"/>
        <v>0</v>
      </c>
      <c r="AD38" s="15">
        <f t="shared" si="7"/>
        <v>11183</v>
      </c>
      <c r="AE38" s="19"/>
      <c r="AF38" s="18">
        <f t="shared" si="8"/>
        <v>0</v>
      </c>
      <c r="AG38" s="17">
        <f t="shared" si="9"/>
        <v>0</v>
      </c>
      <c r="AH38" s="17">
        <f t="shared" si="10"/>
        <v>0</v>
      </c>
    </row>
    <row r="39" spans="1:34" ht="33.75">
      <c r="A39" s="8" t="s">
        <v>57</v>
      </c>
      <c r="B39" s="9"/>
      <c r="C39" s="9"/>
      <c r="D39" s="9">
        <f t="shared" si="2"/>
        <v>0</v>
      </c>
      <c r="E39" s="10"/>
      <c r="F39" s="11">
        <f t="shared" si="3"/>
        <v>0</v>
      </c>
      <c r="G39" s="11"/>
      <c r="H39" s="11"/>
      <c r="I39" s="11"/>
      <c r="J39" s="12"/>
      <c r="K39" s="12">
        <f t="shared" si="4"/>
        <v>0</v>
      </c>
      <c r="L39" s="13">
        <f t="shared" si="5"/>
        <v>0</v>
      </c>
      <c r="M39" s="13">
        <f t="shared" si="6"/>
        <v>0</v>
      </c>
      <c r="N39" s="14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5">
        <f t="shared" si="0"/>
        <v>0</v>
      </c>
      <c r="AC39" s="5">
        <f t="shared" si="11"/>
        <v>0</v>
      </c>
      <c r="AD39" s="15">
        <f t="shared" si="7"/>
        <v>0</v>
      </c>
      <c r="AE39" s="19"/>
      <c r="AF39" s="18">
        <f t="shared" si="8"/>
        <v>0</v>
      </c>
      <c r="AG39" s="17">
        <f t="shared" si="9"/>
        <v>0</v>
      </c>
      <c r="AH39" s="17">
        <f t="shared" si="10"/>
        <v>0</v>
      </c>
    </row>
    <row r="40" spans="1:34" ht="45">
      <c r="A40" s="8" t="s">
        <v>58</v>
      </c>
      <c r="B40" s="9"/>
      <c r="C40" s="9"/>
      <c r="D40" s="9">
        <f t="shared" si="2"/>
        <v>0</v>
      </c>
      <c r="E40" s="10"/>
      <c r="F40" s="11">
        <f t="shared" si="3"/>
        <v>0</v>
      </c>
      <c r="G40" s="11"/>
      <c r="H40" s="11"/>
      <c r="I40" s="11"/>
      <c r="J40" s="12"/>
      <c r="K40" s="12">
        <f t="shared" si="4"/>
        <v>0</v>
      </c>
      <c r="L40" s="13">
        <f t="shared" si="5"/>
        <v>0</v>
      </c>
      <c r="M40" s="13">
        <f t="shared" si="6"/>
        <v>0</v>
      </c>
      <c r="N40" s="14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5">
        <f t="shared" si="0"/>
        <v>0</v>
      </c>
      <c r="AC40" s="5">
        <f t="shared" si="11"/>
        <v>0</v>
      </c>
      <c r="AD40" s="15">
        <f t="shared" si="7"/>
        <v>0</v>
      </c>
      <c r="AE40" s="19"/>
      <c r="AF40" s="18">
        <f t="shared" si="8"/>
        <v>0</v>
      </c>
      <c r="AG40" s="17">
        <f t="shared" si="9"/>
        <v>0</v>
      </c>
      <c r="AH40" s="17">
        <f t="shared" si="10"/>
        <v>0</v>
      </c>
    </row>
    <row r="41" spans="1:34" ht="33.75">
      <c r="A41" s="8" t="s">
        <v>59</v>
      </c>
      <c r="B41" s="9"/>
      <c r="C41" s="9"/>
      <c r="D41" s="9">
        <f t="shared" si="2"/>
        <v>0</v>
      </c>
      <c r="E41" s="10"/>
      <c r="F41" s="11">
        <f t="shared" si="3"/>
        <v>0</v>
      </c>
      <c r="G41" s="11"/>
      <c r="H41" s="11"/>
      <c r="I41" s="11"/>
      <c r="J41" s="12"/>
      <c r="K41" s="12">
        <f t="shared" si="4"/>
        <v>0</v>
      </c>
      <c r="L41" s="13">
        <f t="shared" si="5"/>
        <v>0</v>
      </c>
      <c r="M41" s="13">
        <f t="shared" si="6"/>
        <v>0</v>
      </c>
      <c r="N41" s="14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5">
        <f t="shared" si="0"/>
        <v>0</v>
      </c>
      <c r="AC41" s="5">
        <f t="shared" si="11"/>
        <v>0</v>
      </c>
      <c r="AD41" s="15">
        <f t="shared" si="7"/>
        <v>0</v>
      </c>
      <c r="AE41" s="19"/>
      <c r="AF41" s="18">
        <f t="shared" si="8"/>
        <v>0</v>
      </c>
      <c r="AG41" s="17">
        <f t="shared" si="9"/>
        <v>0</v>
      </c>
      <c r="AH41" s="17">
        <f t="shared" si="10"/>
        <v>0</v>
      </c>
    </row>
    <row r="42" spans="1:34" ht="33.75">
      <c r="A42" s="8" t="s">
        <v>60</v>
      </c>
      <c r="B42" s="9"/>
      <c r="C42" s="9"/>
      <c r="D42" s="9">
        <f t="shared" si="2"/>
        <v>0</v>
      </c>
      <c r="E42" s="10"/>
      <c r="F42" s="11">
        <f t="shared" si="3"/>
        <v>0</v>
      </c>
      <c r="G42" s="11"/>
      <c r="H42" s="11"/>
      <c r="I42" s="11"/>
      <c r="J42" s="12"/>
      <c r="K42" s="12">
        <f t="shared" si="4"/>
        <v>0</v>
      </c>
      <c r="L42" s="13">
        <f t="shared" si="5"/>
        <v>0</v>
      </c>
      <c r="M42" s="13">
        <f t="shared" si="6"/>
        <v>0</v>
      </c>
      <c r="N42" s="14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5">
        <f t="shared" si="0"/>
        <v>0</v>
      </c>
      <c r="AC42" s="5">
        <f t="shared" si="11"/>
        <v>0</v>
      </c>
      <c r="AD42" s="15">
        <f t="shared" si="7"/>
        <v>0</v>
      </c>
      <c r="AE42" s="19"/>
      <c r="AF42" s="18">
        <f t="shared" si="8"/>
        <v>0</v>
      </c>
      <c r="AG42" s="17">
        <f t="shared" si="9"/>
        <v>0</v>
      </c>
      <c r="AH42" s="17">
        <f t="shared" si="10"/>
        <v>0</v>
      </c>
    </row>
    <row r="43" spans="1:34" ht="33.75">
      <c r="A43" s="8" t="s">
        <v>61</v>
      </c>
      <c r="B43" s="9"/>
      <c r="C43" s="9"/>
      <c r="D43" s="9">
        <f t="shared" si="2"/>
        <v>0</v>
      </c>
      <c r="E43" s="10"/>
      <c r="F43" s="11">
        <f t="shared" si="3"/>
        <v>0</v>
      </c>
      <c r="G43" s="11"/>
      <c r="H43" s="11"/>
      <c r="I43" s="11"/>
      <c r="J43" s="12"/>
      <c r="K43" s="12">
        <f t="shared" si="4"/>
        <v>0</v>
      </c>
      <c r="L43" s="13">
        <f t="shared" si="5"/>
        <v>0</v>
      </c>
      <c r="M43" s="13">
        <f t="shared" si="6"/>
        <v>0</v>
      </c>
      <c r="N43" s="14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5">
        <f t="shared" si="0"/>
        <v>0</v>
      </c>
      <c r="AC43" s="5">
        <f t="shared" si="11"/>
        <v>0</v>
      </c>
      <c r="AD43" s="15">
        <f t="shared" si="7"/>
        <v>0</v>
      </c>
      <c r="AE43" s="19"/>
      <c r="AF43" s="18">
        <f t="shared" si="8"/>
        <v>0</v>
      </c>
      <c r="AG43" s="17">
        <f t="shared" si="9"/>
        <v>0</v>
      </c>
      <c r="AH43" s="17">
        <f t="shared" si="10"/>
        <v>0</v>
      </c>
    </row>
    <row r="44" spans="1:34" ht="33.75">
      <c r="A44" s="8" t="s">
        <v>62</v>
      </c>
      <c r="B44" s="9"/>
      <c r="C44" s="9"/>
      <c r="D44" s="9">
        <f t="shared" si="2"/>
        <v>0</v>
      </c>
      <c r="E44" s="10"/>
      <c r="F44" s="11">
        <f t="shared" si="3"/>
        <v>0</v>
      </c>
      <c r="G44" s="11"/>
      <c r="H44" s="11"/>
      <c r="I44" s="11"/>
      <c r="J44" s="12"/>
      <c r="K44" s="12">
        <f t="shared" si="4"/>
        <v>0</v>
      </c>
      <c r="L44" s="13">
        <f t="shared" si="5"/>
        <v>0</v>
      </c>
      <c r="M44" s="13">
        <f t="shared" si="6"/>
        <v>0</v>
      </c>
      <c r="N44" s="14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5">
        <f t="shared" si="0"/>
        <v>0</v>
      </c>
      <c r="AC44" s="5">
        <f t="shared" si="11"/>
        <v>0</v>
      </c>
      <c r="AD44" s="15">
        <f t="shared" si="7"/>
        <v>0</v>
      </c>
      <c r="AE44" s="19"/>
      <c r="AF44" s="18">
        <f t="shared" si="8"/>
        <v>0</v>
      </c>
      <c r="AG44" s="17">
        <f t="shared" si="9"/>
        <v>0</v>
      </c>
      <c r="AH44" s="17">
        <f t="shared" si="10"/>
        <v>0</v>
      </c>
    </row>
    <row r="45" spans="1:34" ht="33.75">
      <c r="A45" s="8" t="s">
        <v>63</v>
      </c>
      <c r="B45" s="9">
        <v>0</v>
      </c>
      <c r="C45" s="9">
        <v>25000</v>
      </c>
      <c r="D45" s="9">
        <f t="shared" si="2"/>
        <v>13187.5</v>
      </c>
      <c r="E45" s="10"/>
      <c r="F45" s="11">
        <f t="shared" si="3"/>
        <v>0</v>
      </c>
      <c r="G45" s="11"/>
      <c r="H45" s="11"/>
      <c r="I45" s="11"/>
      <c r="J45" s="12"/>
      <c r="K45" s="12">
        <f t="shared" si="4"/>
        <v>25000</v>
      </c>
      <c r="L45" s="53">
        <f t="shared" si="5"/>
        <v>25000</v>
      </c>
      <c r="M45" s="13">
        <f t="shared" si="6"/>
        <v>26375</v>
      </c>
      <c r="N45" s="14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>
        <v>25000</v>
      </c>
      <c r="AB45" s="15">
        <f t="shared" si="0"/>
        <v>25000</v>
      </c>
      <c r="AC45" s="5">
        <f t="shared" si="11"/>
        <v>0</v>
      </c>
      <c r="AD45" s="15">
        <f t="shared" si="7"/>
        <v>-13187.5</v>
      </c>
      <c r="AE45" s="19"/>
      <c r="AF45" s="18">
        <f t="shared" si="8"/>
        <v>26375</v>
      </c>
      <c r="AG45" s="17">
        <f t="shared" si="9"/>
        <v>27694</v>
      </c>
      <c r="AH45" s="17">
        <f t="shared" si="10"/>
        <v>29079</v>
      </c>
    </row>
    <row r="46" spans="1:34" ht="33.75">
      <c r="A46" s="8" t="s">
        <v>64</v>
      </c>
      <c r="B46" s="9"/>
      <c r="C46" s="9"/>
      <c r="D46" s="9">
        <f t="shared" si="2"/>
        <v>0</v>
      </c>
      <c r="E46" s="10"/>
      <c r="F46" s="11">
        <f t="shared" si="3"/>
        <v>0</v>
      </c>
      <c r="G46" s="11"/>
      <c r="H46" s="11"/>
      <c r="I46" s="11"/>
      <c r="J46" s="12"/>
      <c r="K46" s="12">
        <f t="shared" si="4"/>
        <v>0</v>
      </c>
      <c r="L46" s="13">
        <f t="shared" si="5"/>
        <v>0</v>
      </c>
      <c r="M46" s="13">
        <f t="shared" si="6"/>
        <v>0</v>
      </c>
      <c r="N46" s="14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5">
        <f t="shared" si="0"/>
        <v>0</v>
      </c>
      <c r="AC46" s="5">
        <f t="shared" si="11"/>
        <v>0</v>
      </c>
      <c r="AD46" s="15">
        <f t="shared" si="7"/>
        <v>0</v>
      </c>
      <c r="AE46" s="19"/>
      <c r="AF46" s="18">
        <f t="shared" si="8"/>
        <v>0</v>
      </c>
      <c r="AG46" s="17">
        <f t="shared" si="9"/>
        <v>0</v>
      </c>
      <c r="AH46" s="17">
        <f t="shared" si="10"/>
        <v>0</v>
      </c>
    </row>
    <row r="47" spans="1:34" ht="22.5">
      <c r="A47" s="8" t="s">
        <v>65</v>
      </c>
      <c r="B47" s="9"/>
      <c r="C47" s="9"/>
      <c r="D47" s="9">
        <f t="shared" si="2"/>
        <v>0</v>
      </c>
      <c r="E47" s="10"/>
      <c r="F47" s="11">
        <f t="shared" si="3"/>
        <v>0</v>
      </c>
      <c r="G47" s="11"/>
      <c r="H47" s="11"/>
      <c r="I47" s="11"/>
      <c r="J47" s="12"/>
      <c r="K47" s="12">
        <f t="shared" si="4"/>
        <v>0</v>
      </c>
      <c r="L47" s="13">
        <f t="shared" si="5"/>
        <v>0</v>
      </c>
      <c r="M47" s="13">
        <f t="shared" si="6"/>
        <v>0</v>
      </c>
      <c r="N47" s="14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5">
        <f t="shared" si="0"/>
        <v>0</v>
      </c>
      <c r="AC47" s="5">
        <f t="shared" si="11"/>
        <v>0</v>
      </c>
      <c r="AD47" s="15">
        <f t="shared" si="7"/>
        <v>0</v>
      </c>
      <c r="AE47" s="19"/>
      <c r="AF47" s="18">
        <f t="shared" si="8"/>
        <v>0</v>
      </c>
      <c r="AG47" s="17">
        <f t="shared" si="9"/>
        <v>0</v>
      </c>
      <c r="AH47" s="17">
        <f t="shared" si="10"/>
        <v>0</v>
      </c>
    </row>
    <row r="48" spans="1:34" ht="22.5">
      <c r="A48" s="8" t="s">
        <v>66</v>
      </c>
      <c r="B48" s="9">
        <v>0</v>
      </c>
      <c r="C48" s="9">
        <v>25000</v>
      </c>
      <c r="D48" s="9">
        <f t="shared" si="2"/>
        <v>13187.5</v>
      </c>
      <c r="E48" s="10"/>
      <c r="F48" s="11">
        <f t="shared" si="3"/>
        <v>0</v>
      </c>
      <c r="G48" s="11"/>
      <c r="H48" s="11"/>
      <c r="I48" s="11"/>
      <c r="J48" s="12"/>
      <c r="K48" s="12">
        <f t="shared" si="4"/>
        <v>25000</v>
      </c>
      <c r="L48" s="53">
        <f t="shared" si="5"/>
        <v>25000</v>
      </c>
      <c r="M48" s="13">
        <f t="shared" si="6"/>
        <v>26375</v>
      </c>
      <c r="N48" s="14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>
        <v>25000</v>
      </c>
      <c r="AB48" s="15">
        <f t="shared" si="0"/>
        <v>25000</v>
      </c>
      <c r="AC48" s="5">
        <f t="shared" si="11"/>
        <v>0</v>
      </c>
      <c r="AD48" s="15">
        <f t="shared" si="7"/>
        <v>-13187.5</v>
      </c>
      <c r="AE48" s="19"/>
      <c r="AF48" s="18">
        <f t="shared" si="8"/>
        <v>26375</v>
      </c>
      <c r="AG48" s="17">
        <f t="shared" si="9"/>
        <v>27694</v>
      </c>
      <c r="AH48" s="17">
        <f t="shared" si="10"/>
        <v>29079</v>
      </c>
    </row>
    <row r="49" spans="1:34" ht="33.75">
      <c r="A49" s="8" t="s">
        <v>67</v>
      </c>
      <c r="B49" s="9">
        <v>16000</v>
      </c>
      <c r="C49" s="9">
        <v>0</v>
      </c>
      <c r="D49" s="9">
        <f t="shared" si="2"/>
        <v>8946.4</v>
      </c>
      <c r="E49" s="10"/>
      <c r="F49" s="11">
        <f t="shared" si="3"/>
        <v>0</v>
      </c>
      <c r="G49" s="11"/>
      <c r="H49" s="11"/>
      <c r="I49" s="11"/>
      <c r="J49" s="12"/>
      <c r="K49" s="12">
        <f t="shared" si="4"/>
        <v>0</v>
      </c>
      <c r="L49" s="13">
        <f t="shared" si="5"/>
        <v>0</v>
      </c>
      <c r="M49" s="13">
        <f t="shared" si="6"/>
        <v>0</v>
      </c>
      <c r="N49" s="14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5">
        <f t="shared" si="0"/>
        <v>0</v>
      </c>
      <c r="AC49" s="5">
        <f t="shared" si="11"/>
        <v>0</v>
      </c>
      <c r="AD49" s="15">
        <f t="shared" si="7"/>
        <v>8946.4</v>
      </c>
      <c r="AE49" s="19"/>
      <c r="AF49" s="18">
        <f t="shared" si="8"/>
        <v>0</v>
      </c>
      <c r="AG49" s="17">
        <f t="shared" si="9"/>
        <v>0</v>
      </c>
      <c r="AH49" s="17">
        <f t="shared" si="10"/>
        <v>0</v>
      </c>
    </row>
    <row r="50" spans="1:34" ht="33.75">
      <c r="A50" s="8" t="s">
        <v>68</v>
      </c>
      <c r="B50" s="9"/>
      <c r="C50" s="9"/>
      <c r="D50" s="9">
        <f t="shared" si="2"/>
        <v>0</v>
      </c>
      <c r="E50" s="10"/>
      <c r="F50" s="11">
        <f t="shared" si="3"/>
        <v>0</v>
      </c>
      <c r="G50" s="11"/>
      <c r="H50" s="11"/>
      <c r="I50" s="11"/>
      <c r="J50" s="12"/>
      <c r="K50" s="12">
        <f t="shared" si="4"/>
        <v>0</v>
      </c>
      <c r="L50" s="13">
        <f t="shared" si="5"/>
        <v>0</v>
      </c>
      <c r="M50" s="13">
        <f t="shared" si="6"/>
        <v>0</v>
      </c>
      <c r="N50" s="14"/>
      <c r="O50" s="15"/>
      <c r="P50" s="15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5">
        <f t="shared" si="0"/>
        <v>0</v>
      </c>
      <c r="AC50" s="5">
        <f t="shared" si="11"/>
        <v>0</v>
      </c>
      <c r="AD50" s="15">
        <f t="shared" si="7"/>
        <v>0</v>
      </c>
      <c r="AE50" s="19"/>
      <c r="AF50" s="18">
        <f t="shared" si="8"/>
        <v>0</v>
      </c>
      <c r="AG50" s="17">
        <f t="shared" si="9"/>
        <v>0</v>
      </c>
      <c r="AH50" s="17">
        <f t="shared" si="10"/>
        <v>0</v>
      </c>
    </row>
    <row r="51" spans="1:34" ht="33.75">
      <c r="A51" s="8" t="s">
        <v>69</v>
      </c>
      <c r="B51" s="9">
        <v>0</v>
      </c>
      <c r="C51" s="9">
        <v>25000</v>
      </c>
      <c r="D51" s="9">
        <f t="shared" si="2"/>
        <v>13187.5</v>
      </c>
      <c r="E51" s="10"/>
      <c r="F51" s="11">
        <f t="shared" si="3"/>
        <v>0</v>
      </c>
      <c r="G51" s="11"/>
      <c r="H51" s="11"/>
      <c r="I51" s="11"/>
      <c r="J51" s="12"/>
      <c r="K51" s="12">
        <f t="shared" si="4"/>
        <v>25000</v>
      </c>
      <c r="L51" s="53">
        <f t="shared" si="5"/>
        <v>25000</v>
      </c>
      <c r="M51" s="13">
        <f t="shared" si="6"/>
        <v>26375</v>
      </c>
      <c r="N51" s="14"/>
      <c r="O51" s="15"/>
      <c r="P51" s="15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>
        <v>25000</v>
      </c>
      <c r="AB51" s="15">
        <f t="shared" si="0"/>
        <v>25000</v>
      </c>
      <c r="AC51" s="5">
        <f t="shared" si="11"/>
        <v>0</v>
      </c>
      <c r="AD51" s="15">
        <f t="shared" si="7"/>
        <v>-13187.5</v>
      </c>
      <c r="AE51" s="19"/>
      <c r="AF51" s="18">
        <f t="shared" si="8"/>
        <v>26375</v>
      </c>
      <c r="AG51" s="17">
        <f t="shared" si="9"/>
        <v>27694</v>
      </c>
      <c r="AH51" s="17">
        <f t="shared" si="10"/>
        <v>29079</v>
      </c>
    </row>
    <row r="52" spans="1:34" ht="33.75">
      <c r="A52" s="8" t="s">
        <v>70</v>
      </c>
      <c r="B52" s="9"/>
      <c r="C52" s="9"/>
      <c r="D52" s="9">
        <f t="shared" si="2"/>
        <v>0</v>
      </c>
      <c r="E52" s="10"/>
      <c r="F52" s="11">
        <f t="shared" si="3"/>
        <v>0</v>
      </c>
      <c r="G52" s="11"/>
      <c r="H52" s="11"/>
      <c r="I52" s="11"/>
      <c r="J52" s="12"/>
      <c r="K52" s="12">
        <f t="shared" si="4"/>
        <v>0</v>
      </c>
      <c r="L52" s="13">
        <f t="shared" si="5"/>
        <v>0</v>
      </c>
      <c r="M52" s="13">
        <f t="shared" si="6"/>
        <v>0</v>
      </c>
      <c r="N52" s="14"/>
      <c r="O52" s="15"/>
      <c r="P52" s="15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5">
        <f t="shared" si="0"/>
        <v>0</v>
      </c>
      <c r="AC52" s="5">
        <f t="shared" si="11"/>
        <v>0</v>
      </c>
      <c r="AD52" s="15">
        <f t="shared" si="7"/>
        <v>0</v>
      </c>
      <c r="AE52" s="19"/>
      <c r="AF52" s="18">
        <f aca="true" t="shared" si="12" ref="AF52:AF69">AE52+M52</f>
        <v>0</v>
      </c>
      <c r="AG52" s="17">
        <f t="shared" si="9"/>
        <v>0</v>
      </c>
      <c r="AH52" s="17">
        <f t="shared" si="10"/>
        <v>0</v>
      </c>
    </row>
    <row r="53" spans="1:34" ht="33.75">
      <c r="A53" s="8" t="s">
        <v>71</v>
      </c>
      <c r="B53" s="9"/>
      <c r="C53" s="9"/>
      <c r="D53" s="9">
        <f t="shared" si="2"/>
        <v>0</v>
      </c>
      <c r="E53" s="10"/>
      <c r="F53" s="11">
        <f t="shared" si="3"/>
        <v>0</v>
      </c>
      <c r="G53" s="11"/>
      <c r="H53" s="11"/>
      <c r="I53" s="11"/>
      <c r="J53" s="12"/>
      <c r="K53" s="12">
        <f t="shared" si="4"/>
        <v>0</v>
      </c>
      <c r="L53" s="13">
        <f t="shared" si="5"/>
        <v>0</v>
      </c>
      <c r="M53" s="13">
        <f t="shared" si="6"/>
        <v>0</v>
      </c>
      <c r="N53" s="14"/>
      <c r="O53" s="15"/>
      <c r="P53" s="15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5">
        <f t="shared" si="0"/>
        <v>0</v>
      </c>
      <c r="AC53" s="5">
        <f t="shared" si="11"/>
        <v>0</v>
      </c>
      <c r="AD53" s="15">
        <f t="shared" si="7"/>
        <v>0</v>
      </c>
      <c r="AE53" s="19"/>
      <c r="AF53" s="18">
        <f t="shared" si="12"/>
        <v>0</v>
      </c>
      <c r="AG53" s="17">
        <f t="shared" si="9"/>
        <v>0</v>
      </c>
      <c r="AH53" s="17">
        <f t="shared" si="10"/>
        <v>0</v>
      </c>
    </row>
    <row r="54" spans="1:34" ht="33.75">
      <c r="A54" s="8" t="s">
        <v>72</v>
      </c>
      <c r="B54" s="9"/>
      <c r="C54" s="9"/>
      <c r="D54" s="9">
        <f t="shared" si="2"/>
        <v>0</v>
      </c>
      <c r="E54" s="10"/>
      <c r="F54" s="11">
        <f t="shared" si="3"/>
        <v>0</v>
      </c>
      <c r="G54" s="11"/>
      <c r="H54" s="11"/>
      <c r="I54" s="11"/>
      <c r="J54" s="12"/>
      <c r="K54" s="12">
        <f t="shared" si="4"/>
        <v>0</v>
      </c>
      <c r="L54" s="13">
        <f t="shared" si="5"/>
        <v>0</v>
      </c>
      <c r="M54" s="13">
        <f t="shared" si="6"/>
        <v>0</v>
      </c>
      <c r="N54" s="14"/>
      <c r="O54" s="15"/>
      <c r="P54" s="15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5">
        <f t="shared" si="0"/>
        <v>0</v>
      </c>
      <c r="AC54" s="5">
        <f t="shared" si="11"/>
        <v>0</v>
      </c>
      <c r="AD54" s="15">
        <f t="shared" si="7"/>
        <v>0</v>
      </c>
      <c r="AE54" s="19"/>
      <c r="AF54" s="18">
        <f t="shared" si="12"/>
        <v>0</v>
      </c>
      <c r="AG54" s="17">
        <f t="shared" si="9"/>
        <v>0</v>
      </c>
      <c r="AH54" s="17">
        <f t="shared" si="10"/>
        <v>0</v>
      </c>
    </row>
    <row r="55" spans="1:34" ht="33.75">
      <c r="A55" s="8" t="s">
        <v>73</v>
      </c>
      <c r="B55" s="9"/>
      <c r="C55" s="9"/>
      <c r="D55" s="9">
        <f t="shared" si="2"/>
        <v>0</v>
      </c>
      <c r="E55" s="10"/>
      <c r="F55" s="11">
        <f t="shared" si="3"/>
        <v>0</v>
      </c>
      <c r="G55" s="11"/>
      <c r="H55" s="11"/>
      <c r="I55" s="11"/>
      <c r="J55" s="12"/>
      <c r="K55" s="12">
        <f t="shared" si="4"/>
        <v>0</v>
      </c>
      <c r="L55" s="13">
        <f t="shared" si="5"/>
        <v>0</v>
      </c>
      <c r="M55" s="13">
        <f t="shared" si="6"/>
        <v>0</v>
      </c>
      <c r="N55" s="14"/>
      <c r="O55" s="15"/>
      <c r="P55" s="1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5">
        <f t="shared" si="0"/>
        <v>0</v>
      </c>
      <c r="AC55" s="5">
        <f t="shared" si="11"/>
        <v>0</v>
      </c>
      <c r="AD55" s="15">
        <f t="shared" si="7"/>
        <v>0</v>
      </c>
      <c r="AE55" s="19"/>
      <c r="AF55" s="18">
        <f t="shared" si="12"/>
        <v>0</v>
      </c>
      <c r="AG55" s="17">
        <f t="shared" si="9"/>
        <v>0</v>
      </c>
      <c r="AH55" s="17">
        <f t="shared" si="10"/>
        <v>0</v>
      </c>
    </row>
    <row r="56" spans="1:34" ht="33.75">
      <c r="A56" s="8" t="s">
        <v>74</v>
      </c>
      <c r="B56" s="9"/>
      <c r="C56" s="9"/>
      <c r="D56" s="9">
        <f t="shared" si="2"/>
        <v>0</v>
      </c>
      <c r="E56" s="10"/>
      <c r="F56" s="11">
        <f t="shared" si="3"/>
        <v>0</v>
      </c>
      <c r="G56" s="11"/>
      <c r="H56" s="11"/>
      <c r="I56" s="11"/>
      <c r="J56" s="12"/>
      <c r="K56" s="12">
        <f t="shared" si="4"/>
        <v>0</v>
      </c>
      <c r="L56" s="13">
        <f t="shared" si="5"/>
        <v>0</v>
      </c>
      <c r="M56" s="13">
        <f t="shared" si="6"/>
        <v>0</v>
      </c>
      <c r="N56" s="14"/>
      <c r="O56" s="15"/>
      <c r="P56" s="15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5">
        <f t="shared" si="0"/>
        <v>0</v>
      </c>
      <c r="AC56" s="5">
        <f t="shared" si="11"/>
        <v>0</v>
      </c>
      <c r="AD56" s="15">
        <f t="shared" si="7"/>
        <v>0</v>
      </c>
      <c r="AE56" s="19"/>
      <c r="AF56" s="18">
        <f t="shared" si="12"/>
        <v>0</v>
      </c>
      <c r="AG56" s="17">
        <f t="shared" si="9"/>
        <v>0</v>
      </c>
      <c r="AH56" s="17">
        <f t="shared" si="10"/>
        <v>0</v>
      </c>
    </row>
    <row r="57" spans="1:34" ht="33.75">
      <c r="A57" s="8" t="s">
        <v>75</v>
      </c>
      <c r="B57" s="9"/>
      <c r="C57" s="9"/>
      <c r="D57" s="9">
        <f t="shared" si="2"/>
        <v>0</v>
      </c>
      <c r="E57" s="10"/>
      <c r="F57" s="11">
        <f t="shared" si="3"/>
        <v>0</v>
      </c>
      <c r="G57" s="11"/>
      <c r="H57" s="11"/>
      <c r="I57" s="11"/>
      <c r="J57" s="12"/>
      <c r="K57" s="12">
        <f t="shared" si="4"/>
        <v>0</v>
      </c>
      <c r="L57" s="13">
        <f t="shared" si="5"/>
        <v>0</v>
      </c>
      <c r="M57" s="13">
        <f t="shared" si="6"/>
        <v>0</v>
      </c>
      <c r="N57" s="14"/>
      <c r="O57" s="15"/>
      <c r="P57" s="15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5">
        <f t="shared" si="0"/>
        <v>0</v>
      </c>
      <c r="AC57" s="5">
        <f t="shared" si="11"/>
        <v>0</v>
      </c>
      <c r="AD57" s="15">
        <f t="shared" si="7"/>
        <v>0</v>
      </c>
      <c r="AE57" s="19"/>
      <c r="AF57" s="18">
        <f t="shared" si="12"/>
        <v>0</v>
      </c>
      <c r="AG57" s="17">
        <f t="shared" si="9"/>
        <v>0</v>
      </c>
      <c r="AH57" s="17">
        <f t="shared" si="10"/>
        <v>0</v>
      </c>
    </row>
    <row r="58" spans="1:34" ht="33.75">
      <c r="A58" s="8" t="s">
        <v>76</v>
      </c>
      <c r="B58" s="9">
        <v>0</v>
      </c>
      <c r="C58" s="9">
        <v>25000</v>
      </c>
      <c r="D58" s="9">
        <f t="shared" si="2"/>
        <v>13187.5</v>
      </c>
      <c r="E58" s="10"/>
      <c r="F58" s="11">
        <f t="shared" si="3"/>
        <v>0</v>
      </c>
      <c r="G58" s="11"/>
      <c r="H58" s="11"/>
      <c r="I58" s="11"/>
      <c r="J58" s="12"/>
      <c r="K58" s="12">
        <f t="shared" si="4"/>
        <v>25000</v>
      </c>
      <c r="L58" s="53">
        <f t="shared" si="5"/>
        <v>25000</v>
      </c>
      <c r="M58" s="13">
        <f t="shared" si="6"/>
        <v>26375</v>
      </c>
      <c r="N58" s="14"/>
      <c r="O58" s="15"/>
      <c r="P58" s="15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>
        <v>25000</v>
      </c>
      <c r="AB58" s="15">
        <f t="shared" si="0"/>
        <v>25000</v>
      </c>
      <c r="AC58" s="5">
        <f t="shared" si="11"/>
        <v>0</v>
      </c>
      <c r="AD58" s="15">
        <f t="shared" si="7"/>
        <v>-13187.5</v>
      </c>
      <c r="AE58" s="19"/>
      <c r="AF58" s="18">
        <f t="shared" si="12"/>
        <v>26375</v>
      </c>
      <c r="AG58" s="17">
        <f t="shared" si="9"/>
        <v>27694</v>
      </c>
      <c r="AH58" s="17">
        <f t="shared" si="10"/>
        <v>29079</v>
      </c>
    </row>
    <row r="59" spans="1:34" ht="33.75">
      <c r="A59" s="8" t="s">
        <v>77</v>
      </c>
      <c r="B59" s="9">
        <v>16000</v>
      </c>
      <c r="C59" s="9">
        <v>25000</v>
      </c>
      <c r="D59" s="9">
        <f t="shared" si="2"/>
        <v>22133.9</v>
      </c>
      <c r="E59" s="10"/>
      <c r="F59" s="11">
        <f t="shared" si="3"/>
        <v>0</v>
      </c>
      <c r="G59" s="11">
        <f>432953.78+47683.8</f>
        <v>480637.58</v>
      </c>
      <c r="H59" s="11">
        <v>20000</v>
      </c>
      <c r="I59" s="11"/>
      <c r="J59" s="12"/>
      <c r="K59" s="12">
        <f t="shared" si="4"/>
        <v>54282.560000000005</v>
      </c>
      <c r="L59" s="13">
        <f t="shared" si="5"/>
        <v>554920.14</v>
      </c>
      <c r="M59" s="13">
        <f t="shared" si="6"/>
        <v>585441</v>
      </c>
      <c r="N59" s="14"/>
      <c r="O59" s="15">
        <v>1664.4</v>
      </c>
      <c r="P59" s="15">
        <v>12461.16</v>
      </c>
      <c r="Q59" s="15"/>
      <c r="R59" s="15"/>
      <c r="S59" s="15"/>
      <c r="T59" s="15"/>
      <c r="U59" s="15"/>
      <c r="V59" s="15">
        <v>15157</v>
      </c>
      <c r="W59" s="16"/>
      <c r="X59" s="16"/>
      <c r="Y59" s="16"/>
      <c r="Z59" s="16"/>
      <c r="AA59" s="16">
        <v>25000</v>
      </c>
      <c r="AB59" s="15">
        <f t="shared" si="0"/>
        <v>54282.560000000005</v>
      </c>
      <c r="AC59" s="5">
        <f t="shared" si="11"/>
        <v>0</v>
      </c>
      <c r="AD59" s="15">
        <f t="shared" si="7"/>
        <v>-563307.1</v>
      </c>
      <c r="AE59" s="19"/>
      <c r="AF59" s="18">
        <f t="shared" si="12"/>
        <v>585441</v>
      </c>
      <c r="AG59" s="17">
        <f t="shared" si="9"/>
        <v>614713</v>
      </c>
      <c r="AH59" s="17">
        <f t="shared" si="10"/>
        <v>645449</v>
      </c>
    </row>
    <row r="60" spans="1:34" ht="33.75">
      <c r="A60" s="8" t="s">
        <v>78</v>
      </c>
      <c r="B60" s="9"/>
      <c r="C60" s="9"/>
      <c r="D60" s="9">
        <f t="shared" si="2"/>
        <v>0</v>
      </c>
      <c r="E60" s="10"/>
      <c r="F60" s="11">
        <f t="shared" si="3"/>
        <v>0</v>
      </c>
      <c r="G60" s="11"/>
      <c r="H60" s="11"/>
      <c r="I60" s="11"/>
      <c r="J60" s="12"/>
      <c r="K60" s="12">
        <f t="shared" si="4"/>
        <v>25000</v>
      </c>
      <c r="L60" s="53">
        <f t="shared" si="5"/>
        <v>25000</v>
      </c>
      <c r="M60" s="13">
        <f t="shared" si="6"/>
        <v>26375</v>
      </c>
      <c r="N60" s="14"/>
      <c r="O60" s="15"/>
      <c r="P60" s="15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>
        <v>25000</v>
      </c>
      <c r="AB60" s="15">
        <f t="shared" si="0"/>
        <v>25000</v>
      </c>
      <c r="AC60" s="5">
        <f t="shared" si="11"/>
        <v>0</v>
      </c>
      <c r="AD60" s="15">
        <f t="shared" si="7"/>
        <v>-26375</v>
      </c>
      <c r="AE60" s="19"/>
      <c r="AF60" s="18">
        <f t="shared" si="12"/>
        <v>26375</v>
      </c>
      <c r="AG60" s="17">
        <f t="shared" si="9"/>
        <v>27694</v>
      </c>
      <c r="AH60" s="17">
        <f t="shared" si="10"/>
        <v>29079</v>
      </c>
    </row>
    <row r="61" spans="1:34" ht="45">
      <c r="A61" s="8" t="s">
        <v>79</v>
      </c>
      <c r="B61" s="9"/>
      <c r="C61" s="9"/>
      <c r="D61" s="9">
        <f t="shared" si="2"/>
        <v>0</v>
      </c>
      <c r="E61" s="10"/>
      <c r="F61" s="11">
        <f t="shared" si="3"/>
        <v>0</v>
      </c>
      <c r="G61" s="11"/>
      <c r="H61" s="11"/>
      <c r="I61" s="11"/>
      <c r="J61" s="12"/>
      <c r="K61" s="12">
        <f t="shared" si="4"/>
        <v>0</v>
      </c>
      <c r="L61" s="13">
        <f t="shared" si="5"/>
        <v>0</v>
      </c>
      <c r="M61" s="13">
        <f t="shared" si="6"/>
        <v>0</v>
      </c>
      <c r="N61" s="14"/>
      <c r="O61" s="15"/>
      <c r="P61" s="15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5">
        <f t="shared" si="0"/>
        <v>0</v>
      </c>
      <c r="AC61" s="5">
        <f t="shared" si="11"/>
        <v>0</v>
      </c>
      <c r="AD61" s="15">
        <f t="shared" si="7"/>
        <v>0</v>
      </c>
      <c r="AE61" s="19"/>
      <c r="AF61" s="18">
        <f t="shared" si="12"/>
        <v>0</v>
      </c>
      <c r="AG61" s="17">
        <f t="shared" si="9"/>
        <v>0</v>
      </c>
      <c r="AH61" s="17">
        <f t="shared" si="10"/>
        <v>0</v>
      </c>
    </row>
    <row r="62" spans="1:34" ht="33.75">
      <c r="A62" s="8" t="s">
        <v>80</v>
      </c>
      <c r="B62" s="9">
        <v>20000</v>
      </c>
      <c r="C62" s="9">
        <v>25000</v>
      </c>
      <c r="D62" s="9">
        <f t="shared" si="2"/>
        <v>24370.5</v>
      </c>
      <c r="E62" s="10"/>
      <c r="F62" s="11">
        <f t="shared" si="3"/>
        <v>0</v>
      </c>
      <c r="G62" s="11"/>
      <c r="H62" s="11"/>
      <c r="I62" s="11"/>
      <c r="J62" s="12"/>
      <c r="K62" s="12">
        <f t="shared" si="4"/>
        <v>25000</v>
      </c>
      <c r="L62" s="53">
        <f t="shared" si="5"/>
        <v>25000</v>
      </c>
      <c r="M62" s="13">
        <f t="shared" si="6"/>
        <v>26375</v>
      </c>
      <c r="N62" s="14"/>
      <c r="O62" s="15"/>
      <c r="P62" s="15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>
        <v>25000</v>
      </c>
      <c r="AB62" s="15">
        <f t="shared" si="0"/>
        <v>25000</v>
      </c>
      <c r="AC62" s="5">
        <f t="shared" si="11"/>
        <v>0</v>
      </c>
      <c r="AD62" s="15">
        <f t="shared" si="7"/>
        <v>-2004.5</v>
      </c>
      <c r="AE62" s="19"/>
      <c r="AF62" s="18">
        <f t="shared" si="12"/>
        <v>26375</v>
      </c>
      <c r="AG62" s="17">
        <f t="shared" si="9"/>
        <v>27694</v>
      </c>
      <c r="AH62" s="17">
        <f t="shared" si="10"/>
        <v>29079</v>
      </c>
    </row>
    <row r="63" spans="1:34" ht="56.25">
      <c r="A63" s="8" t="s">
        <v>81</v>
      </c>
      <c r="B63" s="9"/>
      <c r="C63" s="9"/>
      <c r="D63" s="9">
        <f t="shared" si="2"/>
        <v>0</v>
      </c>
      <c r="E63" s="10"/>
      <c r="F63" s="11">
        <f t="shared" si="3"/>
        <v>0</v>
      </c>
      <c r="G63" s="11"/>
      <c r="H63" s="11"/>
      <c r="I63" s="11"/>
      <c r="J63" s="12"/>
      <c r="K63" s="12">
        <f t="shared" si="4"/>
        <v>0</v>
      </c>
      <c r="L63" s="13">
        <f t="shared" si="5"/>
        <v>0</v>
      </c>
      <c r="M63" s="13">
        <f t="shared" si="6"/>
        <v>0</v>
      </c>
      <c r="N63" s="14"/>
      <c r="O63" s="15"/>
      <c r="P63" s="15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5">
        <f t="shared" si="0"/>
        <v>0</v>
      </c>
      <c r="AC63" s="5">
        <f t="shared" si="11"/>
        <v>0</v>
      </c>
      <c r="AD63" s="15">
        <f t="shared" si="7"/>
        <v>0</v>
      </c>
      <c r="AE63" s="19"/>
      <c r="AF63" s="18">
        <f t="shared" si="12"/>
        <v>0</v>
      </c>
      <c r="AG63" s="17">
        <f t="shared" si="9"/>
        <v>0</v>
      </c>
      <c r="AH63" s="17">
        <f t="shared" si="10"/>
        <v>0</v>
      </c>
    </row>
    <row r="64" spans="1:34" ht="33.75">
      <c r="A64" s="8" t="s">
        <v>82</v>
      </c>
      <c r="B64" s="9"/>
      <c r="C64" s="9"/>
      <c r="D64" s="9">
        <f t="shared" si="2"/>
        <v>0</v>
      </c>
      <c r="E64" s="10"/>
      <c r="F64" s="11">
        <f t="shared" si="3"/>
        <v>0</v>
      </c>
      <c r="G64" s="11"/>
      <c r="H64" s="11"/>
      <c r="I64" s="11"/>
      <c r="J64" s="12"/>
      <c r="K64" s="12">
        <f t="shared" si="4"/>
        <v>0</v>
      </c>
      <c r="L64" s="13">
        <f t="shared" si="5"/>
        <v>0</v>
      </c>
      <c r="M64" s="13">
        <f t="shared" si="6"/>
        <v>0</v>
      </c>
      <c r="N64" s="14"/>
      <c r="O64" s="15"/>
      <c r="P64" s="15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5">
        <f t="shared" si="0"/>
        <v>0</v>
      </c>
      <c r="AC64" s="5">
        <f t="shared" si="11"/>
        <v>0</v>
      </c>
      <c r="AD64" s="15">
        <f t="shared" si="7"/>
        <v>0</v>
      </c>
      <c r="AE64" s="19"/>
      <c r="AF64" s="18">
        <f t="shared" si="12"/>
        <v>0</v>
      </c>
      <c r="AG64" s="17">
        <f t="shared" si="9"/>
        <v>0</v>
      </c>
      <c r="AH64" s="17">
        <f t="shared" si="10"/>
        <v>0</v>
      </c>
    </row>
    <row r="65" spans="1:34" ht="33.75">
      <c r="A65" s="8" t="s">
        <v>83</v>
      </c>
      <c r="B65" s="9">
        <v>0</v>
      </c>
      <c r="C65" s="9">
        <v>30000</v>
      </c>
      <c r="D65" s="9">
        <f t="shared" si="2"/>
        <v>15825</v>
      </c>
      <c r="E65" s="10"/>
      <c r="F65" s="11">
        <f t="shared" si="3"/>
        <v>0</v>
      </c>
      <c r="G65" s="11"/>
      <c r="H65" s="11"/>
      <c r="I65" s="11"/>
      <c r="J65" s="12"/>
      <c r="K65" s="12">
        <f t="shared" si="4"/>
        <v>0</v>
      </c>
      <c r="L65" s="13">
        <f t="shared" si="5"/>
        <v>0</v>
      </c>
      <c r="M65" s="13">
        <f t="shared" si="6"/>
        <v>0</v>
      </c>
      <c r="N65" s="14"/>
      <c r="O65" s="15"/>
      <c r="P65" s="1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5">
        <f t="shared" si="0"/>
        <v>0</v>
      </c>
      <c r="AC65" s="5">
        <f t="shared" si="11"/>
        <v>0</v>
      </c>
      <c r="AD65" s="15">
        <f t="shared" si="7"/>
        <v>15825</v>
      </c>
      <c r="AE65" s="19"/>
      <c r="AF65" s="18">
        <f t="shared" si="12"/>
        <v>0</v>
      </c>
      <c r="AG65" s="17">
        <f t="shared" si="9"/>
        <v>0</v>
      </c>
      <c r="AH65" s="17">
        <f t="shared" si="10"/>
        <v>0</v>
      </c>
    </row>
    <row r="66" spans="1:34" ht="33.75">
      <c r="A66" s="8" t="s">
        <v>84</v>
      </c>
      <c r="B66" s="9">
        <v>176506</v>
      </c>
      <c r="C66" s="9">
        <v>220493</v>
      </c>
      <c r="D66" s="9">
        <f t="shared" si="2"/>
        <v>215003.39</v>
      </c>
      <c r="E66" s="10"/>
      <c r="F66" s="11">
        <f t="shared" si="3"/>
        <v>0</v>
      </c>
      <c r="G66" s="11">
        <v>96927.41</v>
      </c>
      <c r="H66" s="11">
        <v>2658</v>
      </c>
      <c r="I66" s="11"/>
      <c r="J66" s="12"/>
      <c r="K66" s="12">
        <f t="shared" si="4"/>
        <v>96846.9</v>
      </c>
      <c r="L66" s="53">
        <f t="shared" si="5"/>
        <v>196432.31</v>
      </c>
      <c r="M66" s="13">
        <f t="shared" si="6"/>
        <v>207236</v>
      </c>
      <c r="N66" s="14">
        <v>36328</v>
      </c>
      <c r="O66" s="15">
        <v>6935</v>
      </c>
      <c r="P66" s="15">
        <v>53583.9</v>
      </c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5">
        <f t="shared" si="0"/>
        <v>96846.9</v>
      </c>
      <c r="AC66" s="5">
        <f t="shared" si="11"/>
        <v>0</v>
      </c>
      <c r="AD66" s="15">
        <f t="shared" si="7"/>
        <v>7767.390000000014</v>
      </c>
      <c r="AE66" s="19"/>
      <c r="AF66" s="18">
        <f t="shared" si="12"/>
        <v>207236</v>
      </c>
      <c r="AG66" s="17">
        <f t="shared" si="9"/>
        <v>217598</v>
      </c>
      <c r="AH66" s="17">
        <f t="shared" si="10"/>
        <v>228478</v>
      </c>
    </row>
    <row r="67" spans="1:34" ht="33.75">
      <c r="A67" s="8" t="s">
        <v>85</v>
      </c>
      <c r="B67" s="9"/>
      <c r="C67" s="9"/>
      <c r="D67" s="9">
        <f t="shared" si="2"/>
        <v>0</v>
      </c>
      <c r="E67" s="10"/>
      <c r="F67" s="11">
        <f t="shared" si="3"/>
        <v>0</v>
      </c>
      <c r="G67" s="11"/>
      <c r="H67" s="11"/>
      <c r="I67" s="11"/>
      <c r="J67" s="12"/>
      <c r="K67" s="12">
        <f t="shared" si="4"/>
        <v>0</v>
      </c>
      <c r="L67" s="13">
        <f t="shared" si="5"/>
        <v>0</v>
      </c>
      <c r="M67" s="13">
        <f t="shared" si="6"/>
        <v>0</v>
      </c>
      <c r="N67" s="14"/>
      <c r="O67" s="15"/>
      <c r="P67" s="15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5">
        <f t="shared" si="0"/>
        <v>0</v>
      </c>
      <c r="AC67" s="5">
        <f t="shared" si="11"/>
        <v>0</v>
      </c>
      <c r="AD67" s="15">
        <f t="shared" si="7"/>
        <v>0</v>
      </c>
      <c r="AE67" s="19"/>
      <c r="AF67" s="18">
        <f t="shared" si="12"/>
        <v>0</v>
      </c>
      <c r="AG67" s="17">
        <f t="shared" si="9"/>
        <v>0</v>
      </c>
      <c r="AH67" s="17">
        <f t="shared" si="10"/>
        <v>0</v>
      </c>
    </row>
    <row r="68" spans="1:34" ht="33.75">
      <c r="A68" s="8" t="s">
        <v>86</v>
      </c>
      <c r="B68" s="9"/>
      <c r="C68" s="9"/>
      <c r="D68" s="9">
        <f t="shared" si="2"/>
        <v>0</v>
      </c>
      <c r="E68" s="10"/>
      <c r="F68" s="11">
        <f t="shared" si="3"/>
        <v>0</v>
      </c>
      <c r="G68" s="11"/>
      <c r="H68" s="11"/>
      <c r="I68" s="11"/>
      <c r="J68" s="12"/>
      <c r="K68" s="12">
        <f t="shared" si="4"/>
        <v>0</v>
      </c>
      <c r="L68" s="13">
        <f t="shared" si="5"/>
        <v>0</v>
      </c>
      <c r="M68" s="13">
        <f t="shared" si="6"/>
        <v>0</v>
      </c>
      <c r="N68" s="14"/>
      <c r="O68" s="15"/>
      <c r="P68" s="15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5">
        <f t="shared" si="0"/>
        <v>0</v>
      </c>
      <c r="AC68" s="5">
        <f t="shared" si="11"/>
        <v>0</v>
      </c>
      <c r="AD68" s="15">
        <f t="shared" si="7"/>
        <v>0</v>
      </c>
      <c r="AE68" s="19"/>
      <c r="AF68" s="18">
        <f t="shared" si="12"/>
        <v>0</v>
      </c>
      <c r="AG68" s="17">
        <f t="shared" si="9"/>
        <v>0</v>
      </c>
      <c r="AH68" s="17">
        <f t="shared" si="10"/>
        <v>0</v>
      </c>
    </row>
    <row r="69" spans="1:34" ht="33.75">
      <c r="A69" s="8" t="s">
        <v>87</v>
      </c>
      <c r="B69" s="9"/>
      <c r="C69" s="9"/>
      <c r="D69" s="9">
        <f t="shared" si="2"/>
        <v>0</v>
      </c>
      <c r="E69" s="10"/>
      <c r="F69" s="11">
        <f t="shared" si="3"/>
        <v>0</v>
      </c>
      <c r="G69" s="11"/>
      <c r="H69" s="11"/>
      <c r="I69" s="11"/>
      <c r="J69" s="12"/>
      <c r="K69" s="12">
        <f t="shared" si="4"/>
        <v>0</v>
      </c>
      <c r="L69" s="13">
        <f aca="true" t="shared" si="13" ref="L69:L129">E69+G69+H69+I69+J69+K69</f>
        <v>0</v>
      </c>
      <c r="M69" s="13">
        <f t="shared" si="6"/>
        <v>0</v>
      </c>
      <c r="N69" s="14"/>
      <c r="O69" s="15"/>
      <c r="P69" s="15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5">
        <f aca="true" t="shared" si="14" ref="AB69:AB129">AA69+V69+U69+T69+S69+R69+Q69+P69+O69+N69+W69+X69+Y69+Z69</f>
        <v>0</v>
      </c>
      <c r="AC69" s="5">
        <f t="shared" si="11"/>
        <v>0</v>
      </c>
      <c r="AD69" s="15">
        <f t="shared" si="7"/>
        <v>0</v>
      </c>
      <c r="AE69" s="19"/>
      <c r="AF69" s="18">
        <f t="shared" si="12"/>
        <v>0</v>
      </c>
      <c r="AG69" s="17">
        <f t="shared" si="9"/>
        <v>0</v>
      </c>
      <c r="AH69" s="17">
        <f t="shared" si="10"/>
        <v>0</v>
      </c>
    </row>
    <row r="70" spans="1:34" ht="33.75">
      <c r="A70" s="8" t="s">
        <v>88</v>
      </c>
      <c r="B70" s="9"/>
      <c r="C70" s="9"/>
      <c r="D70" s="9">
        <f aca="true" t="shared" si="15" ref="D70:D137">ROUND((B70*1.06+C70)/2*1.055,2)</f>
        <v>0</v>
      </c>
      <c r="E70" s="10"/>
      <c r="F70" s="11">
        <f aca="true" t="shared" si="16" ref="F70:F133">ROUND(E70*1.055,2)</f>
        <v>0</v>
      </c>
      <c r="G70" s="11"/>
      <c r="H70" s="11"/>
      <c r="I70" s="11"/>
      <c r="J70" s="12"/>
      <c r="K70" s="12">
        <f t="shared" si="4"/>
        <v>25000</v>
      </c>
      <c r="L70" s="53">
        <f t="shared" si="13"/>
        <v>25000</v>
      </c>
      <c r="M70" s="13">
        <f aca="true" t="shared" si="17" ref="M70:M139">ROUND(L70*1.055,)</f>
        <v>26375</v>
      </c>
      <c r="N70" s="14"/>
      <c r="O70" s="15"/>
      <c r="P70" s="15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>
        <v>25000</v>
      </c>
      <c r="AB70" s="15">
        <f t="shared" si="14"/>
        <v>25000</v>
      </c>
      <c r="AC70" s="5">
        <f t="shared" si="11"/>
        <v>0</v>
      </c>
      <c r="AD70" s="15">
        <f aca="true" t="shared" si="18" ref="AD70:AD139">D70-M70</f>
        <v>-26375</v>
      </c>
      <c r="AE70" s="19"/>
      <c r="AF70" s="18">
        <f aca="true" t="shared" si="19" ref="AF70:AF133">AE70+M70</f>
        <v>26375</v>
      </c>
      <c r="AG70" s="17">
        <f aca="true" t="shared" si="20" ref="AG70:AG139">ROUND(AF70*1.05,0)</f>
        <v>27694</v>
      </c>
      <c r="AH70" s="17">
        <f aca="true" t="shared" si="21" ref="AH70:AH139">ROUND(AG70*1.05,)</f>
        <v>29079</v>
      </c>
    </row>
    <row r="71" spans="1:34" ht="22.5">
      <c r="A71" s="8" t="s">
        <v>89</v>
      </c>
      <c r="B71" s="9">
        <v>191353</v>
      </c>
      <c r="C71" s="9">
        <v>188442</v>
      </c>
      <c r="D71" s="9">
        <f t="shared" si="15"/>
        <v>206398.18</v>
      </c>
      <c r="E71" s="10" t="e">
        <f>#REF!</f>
        <v>#REF!</v>
      </c>
      <c r="F71" s="11" t="e">
        <f t="shared" si="16"/>
        <v>#REF!</v>
      </c>
      <c r="G71" s="11"/>
      <c r="H71" s="11"/>
      <c r="I71" s="11"/>
      <c r="J71" s="12"/>
      <c r="K71" s="12">
        <f aca="true" t="shared" si="22" ref="K71:K132">AB71</f>
        <v>0</v>
      </c>
      <c r="L71" s="13" t="e">
        <f t="shared" si="13"/>
        <v>#REF!</v>
      </c>
      <c r="M71" s="13" t="e">
        <f t="shared" si="17"/>
        <v>#REF!</v>
      </c>
      <c r="N71" s="14"/>
      <c r="O71" s="15"/>
      <c r="P71" s="15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5">
        <f t="shared" si="14"/>
        <v>0</v>
      </c>
      <c r="AC71" s="5">
        <f t="shared" si="11"/>
        <v>0</v>
      </c>
      <c r="AD71" s="15" t="e">
        <f t="shared" si="18"/>
        <v>#REF!</v>
      </c>
      <c r="AE71" s="19"/>
      <c r="AF71" s="18" t="e">
        <f t="shared" si="19"/>
        <v>#REF!</v>
      </c>
      <c r="AG71" s="17" t="e">
        <f t="shared" si="20"/>
        <v>#REF!</v>
      </c>
      <c r="AH71" s="17" t="e">
        <f t="shared" si="21"/>
        <v>#REF!</v>
      </c>
    </row>
    <row r="72" spans="1:34" ht="33.75">
      <c r="A72" s="8" t="s">
        <v>90</v>
      </c>
      <c r="B72" s="9">
        <v>5600</v>
      </c>
      <c r="C72" s="9">
        <v>0</v>
      </c>
      <c r="D72" s="9">
        <f t="shared" si="15"/>
        <v>3131.24</v>
      </c>
      <c r="E72" s="10"/>
      <c r="F72" s="11">
        <f t="shared" si="16"/>
        <v>0</v>
      </c>
      <c r="G72" s="11"/>
      <c r="H72" s="11"/>
      <c r="I72" s="11"/>
      <c r="J72" s="12"/>
      <c r="K72" s="12">
        <f t="shared" si="22"/>
        <v>0</v>
      </c>
      <c r="L72" s="13">
        <f t="shared" si="13"/>
        <v>0</v>
      </c>
      <c r="M72" s="13">
        <f t="shared" si="17"/>
        <v>0</v>
      </c>
      <c r="N72" s="14"/>
      <c r="O72" s="15"/>
      <c r="P72" s="15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5">
        <f t="shared" si="14"/>
        <v>0</v>
      </c>
      <c r="AC72" s="5">
        <f t="shared" si="11"/>
        <v>0</v>
      </c>
      <c r="AD72" s="15">
        <f t="shared" si="18"/>
        <v>3131.24</v>
      </c>
      <c r="AE72" s="19"/>
      <c r="AF72" s="18">
        <f t="shared" si="19"/>
        <v>0</v>
      </c>
      <c r="AG72" s="17">
        <f t="shared" si="20"/>
        <v>0</v>
      </c>
      <c r="AH72" s="17">
        <f t="shared" si="21"/>
        <v>0</v>
      </c>
    </row>
    <row r="73" spans="1:34" ht="33.75">
      <c r="A73" s="8" t="s">
        <v>91</v>
      </c>
      <c r="B73" s="9"/>
      <c r="C73" s="9"/>
      <c r="D73" s="9">
        <f t="shared" si="15"/>
        <v>0</v>
      </c>
      <c r="E73" s="10"/>
      <c r="F73" s="11">
        <f t="shared" si="16"/>
        <v>0</v>
      </c>
      <c r="G73" s="11"/>
      <c r="H73" s="11"/>
      <c r="I73" s="11"/>
      <c r="J73" s="12"/>
      <c r="K73" s="12">
        <f t="shared" si="22"/>
        <v>0</v>
      </c>
      <c r="L73" s="13">
        <f t="shared" si="13"/>
        <v>0</v>
      </c>
      <c r="M73" s="13">
        <f t="shared" si="17"/>
        <v>0</v>
      </c>
      <c r="N73" s="14"/>
      <c r="O73" s="15"/>
      <c r="P73" s="15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5">
        <f t="shared" si="14"/>
        <v>0</v>
      </c>
      <c r="AC73" s="5">
        <f t="shared" si="11"/>
        <v>0</v>
      </c>
      <c r="AD73" s="15">
        <f t="shared" si="18"/>
        <v>0</v>
      </c>
      <c r="AE73" s="19"/>
      <c r="AF73" s="18">
        <f t="shared" si="19"/>
        <v>0</v>
      </c>
      <c r="AG73" s="17">
        <f t="shared" si="20"/>
        <v>0</v>
      </c>
      <c r="AH73" s="17">
        <f t="shared" si="21"/>
        <v>0</v>
      </c>
    </row>
    <row r="74" spans="1:34" ht="45">
      <c r="A74" s="8" t="s">
        <v>92</v>
      </c>
      <c r="B74" s="9">
        <v>3915260</v>
      </c>
      <c r="C74" s="9">
        <v>4281074</v>
      </c>
      <c r="D74" s="9">
        <f t="shared" si="15"/>
        <v>4447484.16</v>
      </c>
      <c r="E74" s="10">
        <v>4505037.2</v>
      </c>
      <c r="F74" s="11">
        <f t="shared" si="16"/>
        <v>4752814.25</v>
      </c>
      <c r="G74" s="21">
        <v>123607</v>
      </c>
      <c r="H74" s="11">
        <v>111768</v>
      </c>
      <c r="I74" s="21">
        <v>29205</v>
      </c>
      <c r="J74" s="12"/>
      <c r="K74" s="12">
        <f t="shared" si="22"/>
        <v>196255</v>
      </c>
      <c r="L74" s="53">
        <f t="shared" si="13"/>
        <v>4965872.2</v>
      </c>
      <c r="M74" s="13">
        <f t="shared" si="17"/>
        <v>5238995</v>
      </c>
      <c r="N74" s="14"/>
      <c r="O74" s="15">
        <v>84673.2</v>
      </c>
      <c r="P74" s="15">
        <v>11495</v>
      </c>
      <c r="Q74" s="15">
        <v>61216.8</v>
      </c>
      <c r="R74" s="15"/>
      <c r="S74" s="15"/>
      <c r="T74" s="15"/>
      <c r="U74" s="15"/>
      <c r="V74" s="15">
        <f>35440+3430</f>
        <v>38870</v>
      </c>
      <c r="W74" s="16"/>
      <c r="X74" s="16"/>
      <c r="Y74" s="16"/>
      <c r="Z74" s="16"/>
      <c r="AA74" s="16"/>
      <c r="AB74" s="15">
        <f t="shared" si="14"/>
        <v>196255</v>
      </c>
      <c r="AC74" s="5">
        <f t="shared" si="11"/>
        <v>0</v>
      </c>
      <c r="AD74" s="15">
        <f t="shared" si="18"/>
        <v>-791510.8399999999</v>
      </c>
      <c r="AE74" s="19"/>
      <c r="AF74" s="18">
        <f t="shared" si="19"/>
        <v>5238995</v>
      </c>
      <c r="AG74" s="17">
        <f t="shared" si="20"/>
        <v>5500945</v>
      </c>
      <c r="AH74" s="17">
        <f t="shared" si="21"/>
        <v>5775992</v>
      </c>
    </row>
    <row r="75" spans="1:34" ht="33.75">
      <c r="A75" s="8" t="s">
        <v>93</v>
      </c>
      <c r="B75" s="11">
        <v>914814</v>
      </c>
      <c r="C75" s="11">
        <v>718367</v>
      </c>
      <c r="D75" s="9">
        <f t="shared" si="15"/>
        <v>890456.84</v>
      </c>
      <c r="E75" s="11" t="e">
        <f>#REF!</f>
        <v>#REF!</v>
      </c>
      <c r="F75" s="11" t="e">
        <f t="shared" si="16"/>
        <v>#REF!</v>
      </c>
      <c r="G75" s="22"/>
      <c r="H75" s="11"/>
      <c r="I75" s="11"/>
      <c r="J75" s="12"/>
      <c r="K75" s="12">
        <f t="shared" si="22"/>
        <v>0</v>
      </c>
      <c r="L75" s="13" t="e">
        <f t="shared" si="13"/>
        <v>#REF!</v>
      </c>
      <c r="M75" s="13" t="e">
        <f t="shared" si="17"/>
        <v>#REF!</v>
      </c>
      <c r="N75" s="23"/>
      <c r="O75" s="15"/>
      <c r="P75" s="1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5">
        <f t="shared" si="14"/>
        <v>0</v>
      </c>
      <c r="AC75" s="5">
        <f t="shared" si="11"/>
        <v>0</v>
      </c>
      <c r="AD75" s="15" t="e">
        <f t="shared" si="18"/>
        <v>#REF!</v>
      </c>
      <c r="AE75" s="19"/>
      <c r="AF75" s="18" t="e">
        <f t="shared" si="19"/>
        <v>#REF!</v>
      </c>
      <c r="AG75" s="17" t="e">
        <f t="shared" si="20"/>
        <v>#REF!</v>
      </c>
      <c r="AH75" s="17" t="e">
        <f t="shared" si="21"/>
        <v>#REF!</v>
      </c>
    </row>
    <row r="76" spans="1:34" ht="33.75">
      <c r="A76" s="8" t="s">
        <v>94</v>
      </c>
      <c r="B76" s="11">
        <v>914394</v>
      </c>
      <c r="C76" s="11">
        <v>975342</v>
      </c>
      <c r="D76" s="9">
        <f t="shared" si="15"/>
        <v>1025776.31</v>
      </c>
      <c r="E76" s="11" t="e">
        <f>#REF!</f>
        <v>#REF!</v>
      </c>
      <c r="F76" s="11" t="e">
        <f t="shared" si="16"/>
        <v>#REF!</v>
      </c>
      <c r="G76" s="22"/>
      <c r="H76" s="11"/>
      <c r="I76" s="11"/>
      <c r="J76" s="12"/>
      <c r="K76" s="12">
        <f t="shared" si="22"/>
        <v>0</v>
      </c>
      <c r="L76" s="13" t="e">
        <f t="shared" si="13"/>
        <v>#REF!</v>
      </c>
      <c r="M76" s="13" t="e">
        <f t="shared" si="17"/>
        <v>#REF!</v>
      </c>
      <c r="N76" s="23"/>
      <c r="O76" s="15"/>
      <c r="P76" s="15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5">
        <f t="shared" si="14"/>
        <v>0</v>
      </c>
      <c r="AC76" s="5">
        <f t="shared" si="11"/>
        <v>0</v>
      </c>
      <c r="AD76" s="15" t="e">
        <f t="shared" si="18"/>
        <v>#REF!</v>
      </c>
      <c r="AE76" s="19"/>
      <c r="AF76" s="18" t="e">
        <f t="shared" si="19"/>
        <v>#REF!</v>
      </c>
      <c r="AG76" s="17" t="e">
        <f t="shared" si="20"/>
        <v>#REF!</v>
      </c>
      <c r="AH76" s="17" t="e">
        <f t="shared" si="21"/>
        <v>#REF!</v>
      </c>
    </row>
    <row r="77" spans="1:34" ht="33.75">
      <c r="A77" s="8" t="s">
        <v>95</v>
      </c>
      <c r="B77" s="11">
        <v>317974</v>
      </c>
      <c r="C77" s="11">
        <v>367095</v>
      </c>
      <c r="D77" s="9">
        <f t="shared" si="15"/>
        <v>371437.77</v>
      </c>
      <c r="E77" s="11" t="e">
        <f>#REF!</f>
        <v>#REF!</v>
      </c>
      <c r="F77" s="11" t="e">
        <f t="shared" si="16"/>
        <v>#REF!</v>
      </c>
      <c r="G77" s="22"/>
      <c r="H77" s="11"/>
      <c r="I77" s="11"/>
      <c r="J77" s="12"/>
      <c r="K77" s="12">
        <f t="shared" si="22"/>
        <v>0</v>
      </c>
      <c r="L77" s="13" t="e">
        <f t="shared" si="13"/>
        <v>#REF!</v>
      </c>
      <c r="M77" s="13" t="e">
        <f t="shared" si="17"/>
        <v>#REF!</v>
      </c>
      <c r="N77" s="23"/>
      <c r="O77" s="15"/>
      <c r="P77" s="15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5">
        <f t="shared" si="14"/>
        <v>0</v>
      </c>
      <c r="AC77" s="5">
        <f t="shared" si="11"/>
        <v>0</v>
      </c>
      <c r="AD77" s="15" t="e">
        <f t="shared" si="18"/>
        <v>#REF!</v>
      </c>
      <c r="AE77" s="19"/>
      <c r="AF77" s="18" t="e">
        <f t="shared" si="19"/>
        <v>#REF!</v>
      </c>
      <c r="AG77" s="17" t="e">
        <f t="shared" si="20"/>
        <v>#REF!</v>
      </c>
      <c r="AH77" s="17" t="e">
        <f t="shared" si="21"/>
        <v>#REF!</v>
      </c>
    </row>
    <row r="78" spans="1:34" ht="33.75">
      <c r="A78" s="8" t="s">
        <v>96</v>
      </c>
      <c r="B78" s="11">
        <v>359513</v>
      </c>
      <c r="C78" s="11">
        <v>1136935.5</v>
      </c>
      <c r="D78" s="9">
        <f t="shared" si="15"/>
        <v>800755.17</v>
      </c>
      <c r="E78" s="11" t="e">
        <f>#REF!</f>
        <v>#REF!</v>
      </c>
      <c r="F78" s="11" t="e">
        <f t="shared" si="16"/>
        <v>#REF!</v>
      </c>
      <c r="G78" s="22"/>
      <c r="H78" s="11"/>
      <c r="I78" s="11"/>
      <c r="J78" s="12"/>
      <c r="K78" s="12">
        <f t="shared" si="22"/>
        <v>0</v>
      </c>
      <c r="L78" s="13" t="e">
        <f t="shared" si="13"/>
        <v>#REF!</v>
      </c>
      <c r="M78" s="13" t="e">
        <f t="shared" si="17"/>
        <v>#REF!</v>
      </c>
      <c r="N78" s="23"/>
      <c r="O78" s="15"/>
      <c r="P78" s="15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5">
        <f t="shared" si="14"/>
        <v>0</v>
      </c>
      <c r="AC78" s="5">
        <f t="shared" si="11"/>
        <v>0</v>
      </c>
      <c r="AD78" s="15" t="e">
        <f t="shared" si="18"/>
        <v>#REF!</v>
      </c>
      <c r="AE78" s="19">
        <v>609452</v>
      </c>
      <c r="AF78" s="18" t="e">
        <f t="shared" si="19"/>
        <v>#REF!</v>
      </c>
      <c r="AG78" s="17" t="e">
        <f t="shared" si="20"/>
        <v>#REF!</v>
      </c>
      <c r="AH78" s="17" t="e">
        <f t="shared" si="21"/>
        <v>#REF!</v>
      </c>
    </row>
    <row r="79" spans="1:34" ht="33.75">
      <c r="A79" s="8" t="s">
        <v>97</v>
      </c>
      <c r="B79" s="11">
        <v>365221</v>
      </c>
      <c r="C79" s="11">
        <v>515080</v>
      </c>
      <c r="D79" s="9">
        <f t="shared" si="15"/>
        <v>475918.02</v>
      </c>
      <c r="E79" s="11" t="e">
        <f>#REF!</f>
        <v>#REF!</v>
      </c>
      <c r="F79" s="11" t="e">
        <f t="shared" si="16"/>
        <v>#REF!</v>
      </c>
      <c r="G79" s="22"/>
      <c r="H79" s="11"/>
      <c r="I79" s="11"/>
      <c r="J79" s="12"/>
      <c r="K79" s="12">
        <f t="shared" si="22"/>
        <v>0</v>
      </c>
      <c r="L79" s="13" t="e">
        <f t="shared" si="13"/>
        <v>#REF!</v>
      </c>
      <c r="M79" s="13" t="e">
        <f t="shared" si="17"/>
        <v>#REF!</v>
      </c>
      <c r="N79" s="23"/>
      <c r="O79" s="15"/>
      <c r="P79" s="15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5">
        <f t="shared" si="14"/>
        <v>0</v>
      </c>
      <c r="AC79" s="5">
        <f t="shared" si="11"/>
        <v>0</v>
      </c>
      <c r="AD79" s="15" t="e">
        <f t="shared" si="18"/>
        <v>#REF!</v>
      </c>
      <c r="AE79" s="19"/>
      <c r="AF79" s="18" t="e">
        <f t="shared" si="19"/>
        <v>#REF!</v>
      </c>
      <c r="AG79" s="17" t="e">
        <f t="shared" si="20"/>
        <v>#REF!</v>
      </c>
      <c r="AH79" s="17" t="e">
        <f t="shared" si="21"/>
        <v>#REF!</v>
      </c>
    </row>
    <row r="80" spans="1:34" ht="33.75">
      <c r="A80" s="8" t="s">
        <v>98</v>
      </c>
      <c r="B80" s="11">
        <f>467057+138920+159890</f>
        <v>765867</v>
      </c>
      <c r="C80" s="11">
        <v>789649</v>
      </c>
      <c r="D80" s="9">
        <f t="shared" si="15"/>
        <v>844774.38</v>
      </c>
      <c r="E80" s="11" t="e">
        <f>#REF!</f>
        <v>#REF!</v>
      </c>
      <c r="F80" s="11" t="e">
        <f t="shared" si="16"/>
        <v>#REF!</v>
      </c>
      <c r="G80" s="22"/>
      <c r="H80" s="11"/>
      <c r="I80" s="11"/>
      <c r="J80" s="12"/>
      <c r="K80" s="12">
        <f t="shared" si="22"/>
        <v>0</v>
      </c>
      <c r="L80" s="13" t="e">
        <f t="shared" si="13"/>
        <v>#REF!</v>
      </c>
      <c r="M80" s="13" t="e">
        <f t="shared" si="17"/>
        <v>#REF!</v>
      </c>
      <c r="N80" s="23"/>
      <c r="O80" s="15"/>
      <c r="P80" s="15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5">
        <f t="shared" si="14"/>
        <v>0</v>
      </c>
      <c r="AC80" s="5">
        <f aca="true" t="shared" si="23" ref="AC80:AC112">K80-AB80</f>
        <v>0</v>
      </c>
      <c r="AD80" s="15" t="e">
        <f t="shared" si="18"/>
        <v>#REF!</v>
      </c>
      <c r="AE80" s="19">
        <v>60945</v>
      </c>
      <c r="AF80" s="18" t="e">
        <f t="shared" si="19"/>
        <v>#REF!</v>
      </c>
      <c r="AG80" s="17" t="e">
        <f t="shared" si="20"/>
        <v>#REF!</v>
      </c>
      <c r="AH80" s="17" t="e">
        <f t="shared" si="21"/>
        <v>#REF!</v>
      </c>
    </row>
    <row r="81" spans="1:34" ht="33.75">
      <c r="A81" s="8" t="s">
        <v>99</v>
      </c>
      <c r="B81" s="11">
        <f>223763+421254+144633</f>
        <v>789650</v>
      </c>
      <c r="C81" s="11">
        <v>905502</v>
      </c>
      <c r="D81" s="9">
        <f t="shared" si="15"/>
        <v>919185.1</v>
      </c>
      <c r="E81" s="11" t="e">
        <f>#REF!</f>
        <v>#REF!</v>
      </c>
      <c r="F81" s="11" t="e">
        <f t="shared" si="16"/>
        <v>#REF!</v>
      </c>
      <c r="G81" s="22"/>
      <c r="H81" s="11"/>
      <c r="I81" s="11"/>
      <c r="J81" s="12"/>
      <c r="K81" s="12">
        <f t="shared" si="22"/>
        <v>0</v>
      </c>
      <c r="L81" s="13" t="e">
        <f t="shared" si="13"/>
        <v>#REF!</v>
      </c>
      <c r="M81" s="13" t="e">
        <f t="shared" si="17"/>
        <v>#REF!</v>
      </c>
      <c r="N81" s="23"/>
      <c r="O81" s="15"/>
      <c r="P81" s="15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5">
        <f t="shared" si="14"/>
        <v>0</v>
      </c>
      <c r="AC81" s="5">
        <f t="shared" si="23"/>
        <v>0</v>
      </c>
      <c r="AD81" s="15" t="e">
        <f t="shared" si="18"/>
        <v>#REF!</v>
      </c>
      <c r="AE81" s="19"/>
      <c r="AF81" s="18" t="e">
        <f t="shared" si="19"/>
        <v>#REF!</v>
      </c>
      <c r="AG81" s="17" t="e">
        <f t="shared" si="20"/>
        <v>#REF!</v>
      </c>
      <c r="AH81" s="17" t="e">
        <f t="shared" si="21"/>
        <v>#REF!</v>
      </c>
    </row>
    <row r="82" spans="1:34" ht="33.75">
      <c r="A82" s="8" t="s">
        <v>100</v>
      </c>
      <c r="B82" s="11">
        <f>130235+1115743+132511+238139</f>
        <v>1616628</v>
      </c>
      <c r="C82" s="11">
        <v>611141</v>
      </c>
      <c r="D82" s="9">
        <f t="shared" si="15"/>
        <v>1226314.42</v>
      </c>
      <c r="E82" s="11" t="e">
        <f>#REF!</f>
        <v>#REF!</v>
      </c>
      <c r="F82" s="11" t="e">
        <f t="shared" si="16"/>
        <v>#REF!</v>
      </c>
      <c r="G82" s="22"/>
      <c r="H82" s="11"/>
      <c r="I82" s="11"/>
      <c r="J82" s="12"/>
      <c r="K82" s="12">
        <f t="shared" si="22"/>
        <v>0</v>
      </c>
      <c r="L82" s="13" t="e">
        <f t="shared" si="13"/>
        <v>#REF!</v>
      </c>
      <c r="M82" s="13" t="e">
        <f t="shared" si="17"/>
        <v>#REF!</v>
      </c>
      <c r="N82" s="23"/>
      <c r="O82" s="15"/>
      <c r="P82" s="15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5">
        <f t="shared" si="14"/>
        <v>0</v>
      </c>
      <c r="AC82" s="5">
        <f t="shared" si="23"/>
        <v>0</v>
      </c>
      <c r="AD82" s="15" t="e">
        <f t="shared" si="18"/>
        <v>#REF!</v>
      </c>
      <c r="AE82" s="19">
        <v>114272</v>
      </c>
      <c r="AF82" s="18" t="e">
        <f t="shared" si="19"/>
        <v>#REF!</v>
      </c>
      <c r="AG82" s="17" t="e">
        <f t="shared" si="20"/>
        <v>#REF!</v>
      </c>
      <c r="AH82" s="17" t="e">
        <f t="shared" si="21"/>
        <v>#REF!</v>
      </c>
    </row>
    <row r="83" spans="1:34" ht="33.75">
      <c r="A83" s="8" t="s">
        <v>101</v>
      </c>
      <c r="B83" s="11">
        <f>358177+218523+184021+141117</f>
        <v>901838</v>
      </c>
      <c r="C83" s="11">
        <v>999801</v>
      </c>
      <c r="D83" s="9">
        <f t="shared" si="15"/>
        <v>1031657.75</v>
      </c>
      <c r="E83" s="11" t="e">
        <f>#REF!</f>
        <v>#REF!</v>
      </c>
      <c r="F83" s="11" t="e">
        <f t="shared" si="16"/>
        <v>#REF!</v>
      </c>
      <c r="G83" s="22"/>
      <c r="H83" s="11"/>
      <c r="I83" s="11"/>
      <c r="J83" s="12"/>
      <c r="K83" s="12">
        <f t="shared" si="22"/>
        <v>0</v>
      </c>
      <c r="L83" s="13" t="e">
        <f t="shared" si="13"/>
        <v>#REF!</v>
      </c>
      <c r="M83" s="13" t="e">
        <f t="shared" si="17"/>
        <v>#REF!</v>
      </c>
      <c r="N83" s="23"/>
      <c r="O83" s="15"/>
      <c r="P83" s="15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5">
        <f t="shared" si="14"/>
        <v>0</v>
      </c>
      <c r="AC83" s="5">
        <f t="shared" si="23"/>
        <v>0</v>
      </c>
      <c r="AD83" s="15" t="e">
        <f t="shared" si="18"/>
        <v>#REF!</v>
      </c>
      <c r="AE83" s="19"/>
      <c r="AF83" s="18" t="e">
        <f t="shared" si="19"/>
        <v>#REF!</v>
      </c>
      <c r="AG83" s="17" t="e">
        <f t="shared" si="20"/>
        <v>#REF!</v>
      </c>
      <c r="AH83" s="17" t="e">
        <f t="shared" si="21"/>
        <v>#REF!</v>
      </c>
    </row>
    <row r="84" spans="1:34" ht="33.75">
      <c r="A84" s="8" t="s">
        <v>102</v>
      </c>
      <c r="B84" s="11">
        <f>309170+310948</f>
        <v>620118</v>
      </c>
      <c r="C84" s="11">
        <v>668151</v>
      </c>
      <c r="D84" s="9">
        <f t="shared" si="15"/>
        <v>699188.63</v>
      </c>
      <c r="E84" s="11" t="e">
        <f>#REF!</f>
        <v>#REF!</v>
      </c>
      <c r="F84" s="11" t="e">
        <f t="shared" si="16"/>
        <v>#REF!</v>
      </c>
      <c r="G84" s="22"/>
      <c r="H84" s="11"/>
      <c r="I84" s="11"/>
      <c r="J84" s="12"/>
      <c r="K84" s="12">
        <f t="shared" si="22"/>
        <v>0</v>
      </c>
      <c r="L84" s="13" t="e">
        <f t="shared" si="13"/>
        <v>#REF!</v>
      </c>
      <c r="M84" s="13" t="e">
        <f t="shared" si="17"/>
        <v>#REF!</v>
      </c>
      <c r="N84" s="23"/>
      <c r="O84" s="15"/>
      <c r="P84" s="15"/>
      <c r="Q84" s="15"/>
      <c r="R84" s="15"/>
      <c r="S84" s="15"/>
      <c r="T84" s="15"/>
      <c r="U84" s="15"/>
      <c r="V84" s="15"/>
      <c r="W84" s="16"/>
      <c r="X84" s="16"/>
      <c r="Y84" s="16"/>
      <c r="Z84" s="16"/>
      <c r="AA84" s="16"/>
      <c r="AB84" s="15">
        <f t="shared" si="14"/>
        <v>0</v>
      </c>
      <c r="AC84" s="5">
        <f t="shared" si="23"/>
        <v>0</v>
      </c>
      <c r="AD84" s="15" t="e">
        <f t="shared" si="18"/>
        <v>#REF!</v>
      </c>
      <c r="AE84" s="19"/>
      <c r="AF84" s="18" t="e">
        <f t="shared" si="19"/>
        <v>#REF!</v>
      </c>
      <c r="AG84" s="17" t="e">
        <f t="shared" si="20"/>
        <v>#REF!</v>
      </c>
      <c r="AH84" s="17" t="e">
        <f t="shared" si="21"/>
        <v>#REF!</v>
      </c>
    </row>
    <row r="85" spans="1:34" ht="33.75">
      <c r="A85" s="8" t="s">
        <v>103</v>
      </c>
      <c r="B85" s="11">
        <v>585605</v>
      </c>
      <c r="C85" s="11">
        <v>584174</v>
      </c>
      <c r="D85" s="9">
        <f t="shared" si="15"/>
        <v>635592.82</v>
      </c>
      <c r="E85" s="11" t="e">
        <f>#REF!</f>
        <v>#REF!</v>
      </c>
      <c r="F85" s="11" t="e">
        <f t="shared" si="16"/>
        <v>#REF!</v>
      </c>
      <c r="G85" s="22"/>
      <c r="H85" s="11"/>
      <c r="I85" s="11"/>
      <c r="J85" s="12"/>
      <c r="K85" s="12">
        <f t="shared" si="22"/>
        <v>0</v>
      </c>
      <c r="L85" s="13" t="e">
        <f t="shared" si="13"/>
        <v>#REF!</v>
      </c>
      <c r="M85" s="13" t="e">
        <f t="shared" si="17"/>
        <v>#REF!</v>
      </c>
      <c r="N85" s="23"/>
      <c r="O85" s="15"/>
      <c r="P85" s="15"/>
      <c r="Q85" s="15"/>
      <c r="R85" s="15"/>
      <c r="S85" s="15"/>
      <c r="T85" s="15"/>
      <c r="U85" s="15"/>
      <c r="V85" s="15"/>
      <c r="W85" s="16"/>
      <c r="X85" s="16"/>
      <c r="Y85" s="16"/>
      <c r="Z85" s="16"/>
      <c r="AA85" s="16"/>
      <c r="AB85" s="15">
        <f t="shared" si="14"/>
        <v>0</v>
      </c>
      <c r="AC85" s="5">
        <f t="shared" si="23"/>
        <v>0</v>
      </c>
      <c r="AD85" s="15" t="e">
        <f t="shared" si="18"/>
        <v>#REF!</v>
      </c>
      <c r="AE85" s="19">
        <v>609452</v>
      </c>
      <c r="AF85" s="18" t="e">
        <f t="shared" si="19"/>
        <v>#REF!</v>
      </c>
      <c r="AG85" s="17" t="e">
        <f t="shared" si="20"/>
        <v>#REF!</v>
      </c>
      <c r="AH85" s="17" t="e">
        <f t="shared" si="21"/>
        <v>#REF!</v>
      </c>
    </row>
    <row r="86" spans="1:34" ht="33.75">
      <c r="A86" s="8" t="s">
        <v>104</v>
      </c>
      <c r="B86" s="11">
        <v>365455</v>
      </c>
      <c r="C86" s="11">
        <v>390495</v>
      </c>
      <c r="D86" s="9">
        <f t="shared" si="15"/>
        <v>410330.28</v>
      </c>
      <c r="E86" s="11" t="e">
        <f>#REF!</f>
        <v>#REF!</v>
      </c>
      <c r="F86" s="11" t="e">
        <f t="shared" si="16"/>
        <v>#REF!</v>
      </c>
      <c r="G86" s="22"/>
      <c r="H86" s="11"/>
      <c r="I86" s="11"/>
      <c r="J86" s="12"/>
      <c r="K86" s="12">
        <f t="shared" si="22"/>
        <v>0</v>
      </c>
      <c r="L86" s="13" t="e">
        <f t="shared" si="13"/>
        <v>#REF!</v>
      </c>
      <c r="M86" s="13" t="e">
        <f t="shared" si="17"/>
        <v>#REF!</v>
      </c>
      <c r="N86" s="23"/>
      <c r="O86" s="15"/>
      <c r="P86" s="15"/>
      <c r="Q86" s="15"/>
      <c r="R86" s="15"/>
      <c r="S86" s="15"/>
      <c r="T86" s="15"/>
      <c r="U86" s="15"/>
      <c r="V86" s="15"/>
      <c r="W86" s="16"/>
      <c r="X86" s="16"/>
      <c r="Y86" s="16"/>
      <c r="Z86" s="16"/>
      <c r="AA86" s="16"/>
      <c r="AB86" s="15">
        <f t="shared" si="14"/>
        <v>0</v>
      </c>
      <c r="AC86" s="5">
        <f t="shared" si="23"/>
        <v>0</v>
      </c>
      <c r="AD86" s="15" t="e">
        <f t="shared" si="18"/>
        <v>#REF!</v>
      </c>
      <c r="AE86" s="19"/>
      <c r="AF86" s="18" t="e">
        <f t="shared" si="19"/>
        <v>#REF!</v>
      </c>
      <c r="AG86" s="17" t="e">
        <f t="shared" si="20"/>
        <v>#REF!</v>
      </c>
      <c r="AH86" s="17" t="e">
        <f t="shared" si="21"/>
        <v>#REF!</v>
      </c>
    </row>
    <row r="87" spans="1:34" ht="33.75">
      <c r="A87" s="8" t="s">
        <v>105</v>
      </c>
      <c r="B87" s="11">
        <v>405469</v>
      </c>
      <c r="C87" s="11">
        <v>438987</v>
      </c>
      <c r="D87" s="9">
        <f t="shared" si="15"/>
        <v>458283.63</v>
      </c>
      <c r="E87" s="11" t="e">
        <f>#REF!</f>
        <v>#REF!</v>
      </c>
      <c r="F87" s="11" t="e">
        <f t="shared" si="16"/>
        <v>#REF!</v>
      </c>
      <c r="G87" s="22"/>
      <c r="H87" s="11"/>
      <c r="I87" s="11"/>
      <c r="J87" s="12"/>
      <c r="K87" s="12">
        <f t="shared" si="22"/>
        <v>0</v>
      </c>
      <c r="L87" s="13" t="e">
        <f t="shared" si="13"/>
        <v>#REF!</v>
      </c>
      <c r="M87" s="13" t="e">
        <f t="shared" si="17"/>
        <v>#REF!</v>
      </c>
      <c r="N87" s="23"/>
      <c r="O87" s="15"/>
      <c r="P87" s="15"/>
      <c r="Q87" s="15"/>
      <c r="R87" s="15"/>
      <c r="S87" s="15"/>
      <c r="T87" s="15"/>
      <c r="U87" s="15"/>
      <c r="V87" s="15"/>
      <c r="W87" s="16"/>
      <c r="X87" s="16"/>
      <c r="Y87" s="16"/>
      <c r="Z87" s="16"/>
      <c r="AA87" s="16"/>
      <c r="AB87" s="15">
        <f t="shared" si="14"/>
        <v>0</v>
      </c>
      <c r="AC87" s="5">
        <f t="shared" si="23"/>
        <v>0</v>
      </c>
      <c r="AD87" s="15" t="e">
        <f t="shared" si="18"/>
        <v>#REF!</v>
      </c>
      <c r="AE87" s="19"/>
      <c r="AF87" s="18" t="e">
        <f t="shared" si="19"/>
        <v>#REF!</v>
      </c>
      <c r="AG87" s="17" t="e">
        <f t="shared" si="20"/>
        <v>#REF!</v>
      </c>
      <c r="AH87" s="17" t="e">
        <f t="shared" si="21"/>
        <v>#REF!</v>
      </c>
    </row>
    <row r="88" spans="1:34" ht="33.75">
      <c r="A88" s="8" t="s">
        <v>106</v>
      </c>
      <c r="B88" s="11">
        <f>534616+189962+182424</f>
        <v>907002</v>
      </c>
      <c r="C88" s="11">
        <v>979308.29</v>
      </c>
      <c r="D88" s="9">
        <f t="shared" si="15"/>
        <v>1023735.29</v>
      </c>
      <c r="E88" s="11" t="e">
        <f>#REF!</f>
        <v>#REF!</v>
      </c>
      <c r="F88" s="11" t="e">
        <f t="shared" si="16"/>
        <v>#REF!</v>
      </c>
      <c r="G88" s="22"/>
      <c r="H88" s="11"/>
      <c r="I88" s="11"/>
      <c r="J88" s="12"/>
      <c r="K88" s="12">
        <f t="shared" si="22"/>
        <v>0</v>
      </c>
      <c r="L88" s="13" t="e">
        <f t="shared" si="13"/>
        <v>#REF!</v>
      </c>
      <c r="M88" s="13" t="e">
        <f t="shared" si="17"/>
        <v>#REF!</v>
      </c>
      <c r="N88" s="23"/>
      <c r="O88" s="15"/>
      <c r="P88" s="15"/>
      <c r="Q88" s="15"/>
      <c r="R88" s="15"/>
      <c r="S88" s="15"/>
      <c r="T88" s="15"/>
      <c r="U88" s="15"/>
      <c r="V88" s="15"/>
      <c r="W88" s="16"/>
      <c r="X88" s="16"/>
      <c r="Y88" s="16"/>
      <c r="Z88" s="16"/>
      <c r="AA88" s="16"/>
      <c r="AB88" s="15">
        <f t="shared" si="14"/>
        <v>0</v>
      </c>
      <c r="AC88" s="5">
        <f t="shared" si="23"/>
        <v>0</v>
      </c>
      <c r="AD88" s="15" t="e">
        <f t="shared" si="18"/>
        <v>#REF!</v>
      </c>
      <c r="AE88" s="19"/>
      <c r="AF88" s="18" t="e">
        <f t="shared" si="19"/>
        <v>#REF!</v>
      </c>
      <c r="AG88" s="17" t="e">
        <f t="shared" si="20"/>
        <v>#REF!</v>
      </c>
      <c r="AH88" s="17" t="e">
        <f t="shared" si="21"/>
        <v>#REF!</v>
      </c>
    </row>
    <row r="89" spans="1:34" ht="33.75">
      <c r="A89" s="8" t="s">
        <v>107</v>
      </c>
      <c r="B89" s="11">
        <f>359544+169771</f>
        <v>529315</v>
      </c>
      <c r="C89" s="11">
        <v>584079</v>
      </c>
      <c r="D89" s="9">
        <f t="shared" si="15"/>
        <v>604068.15</v>
      </c>
      <c r="E89" s="11" t="e">
        <f>#REF!</f>
        <v>#REF!</v>
      </c>
      <c r="F89" s="11" t="e">
        <f t="shared" si="16"/>
        <v>#REF!</v>
      </c>
      <c r="G89" s="22"/>
      <c r="H89" s="11"/>
      <c r="I89" s="11"/>
      <c r="J89" s="12"/>
      <c r="K89" s="12">
        <f t="shared" si="22"/>
        <v>0</v>
      </c>
      <c r="L89" s="13" t="e">
        <f t="shared" si="13"/>
        <v>#REF!</v>
      </c>
      <c r="M89" s="13" t="e">
        <f t="shared" si="17"/>
        <v>#REF!</v>
      </c>
      <c r="N89" s="23"/>
      <c r="O89" s="15"/>
      <c r="P89" s="15"/>
      <c r="Q89" s="15"/>
      <c r="R89" s="15"/>
      <c r="S89" s="15"/>
      <c r="T89" s="15"/>
      <c r="U89" s="15"/>
      <c r="V89" s="15"/>
      <c r="W89" s="16"/>
      <c r="X89" s="16"/>
      <c r="Y89" s="16"/>
      <c r="Z89" s="16"/>
      <c r="AA89" s="16"/>
      <c r="AB89" s="15">
        <f t="shared" si="14"/>
        <v>0</v>
      </c>
      <c r="AC89" s="5">
        <f t="shared" si="23"/>
        <v>0</v>
      </c>
      <c r="AD89" s="15" t="e">
        <f t="shared" si="18"/>
        <v>#REF!</v>
      </c>
      <c r="AE89" s="19"/>
      <c r="AF89" s="18" t="e">
        <f t="shared" si="19"/>
        <v>#REF!</v>
      </c>
      <c r="AG89" s="17" t="e">
        <f t="shared" si="20"/>
        <v>#REF!</v>
      </c>
      <c r="AH89" s="17" t="e">
        <f t="shared" si="21"/>
        <v>#REF!</v>
      </c>
    </row>
    <row r="90" spans="1:34" ht="33.75">
      <c r="A90" s="8" t="s">
        <v>108</v>
      </c>
      <c r="B90" s="11">
        <f>384527+464480</f>
        <v>849007</v>
      </c>
      <c r="C90" s="11">
        <v>908689</v>
      </c>
      <c r="D90" s="9">
        <f t="shared" si="15"/>
        <v>954055.71</v>
      </c>
      <c r="E90" s="11" t="e">
        <f>#REF!</f>
        <v>#REF!</v>
      </c>
      <c r="F90" s="11" t="e">
        <f t="shared" si="16"/>
        <v>#REF!</v>
      </c>
      <c r="G90" s="22"/>
      <c r="H90" s="11"/>
      <c r="I90" s="11"/>
      <c r="J90" s="12"/>
      <c r="K90" s="12">
        <f t="shared" si="22"/>
        <v>0</v>
      </c>
      <c r="L90" s="13" t="e">
        <f t="shared" si="13"/>
        <v>#REF!</v>
      </c>
      <c r="M90" s="13" t="e">
        <f t="shared" si="17"/>
        <v>#REF!</v>
      </c>
      <c r="N90" s="23"/>
      <c r="O90" s="15"/>
      <c r="P90" s="15"/>
      <c r="Q90" s="15"/>
      <c r="R90" s="15"/>
      <c r="S90" s="15"/>
      <c r="T90" s="15"/>
      <c r="U90" s="15"/>
      <c r="V90" s="15"/>
      <c r="W90" s="16"/>
      <c r="X90" s="16"/>
      <c r="Y90" s="16"/>
      <c r="Z90" s="16"/>
      <c r="AA90" s="16"/>
      <c r="AB90" s="15">
        <f t="shared" si="14"/>
        <v>0</v>
      </c>
      <c r="AC90" s="5">
        <f t="shared" si="23"/>
        <v>0</v>
      </c>
      <c r="AD90" s="15" t="e">
        <f t="shared" si="18"/>
        <v>#REF!</v>
      </c>
      <c r="AE90" s="19">
        <v>106654</v>
      </c>
      <c r="AF90" s="18" t="e">
        <f t="shared" si="19"/>
        <v>#REF!</v>
      </c>
      <c r="AG90" s="17" t="e">
        <f t="shared" si="20"/>
        <v>#REF!</v>
      </c>
      <c r="AH90" s="17" t="e">
        <f t="shared" si="21"/>
        <v>#REF!</v>
      </c>
    </row>
    <row r="91" spans="1:34" ht="56.25">
      <c r="A91" s="8" t="s">
        <v>109</v>
      </c>
      <c r="B91" s="11">
        <f>263050+122403+103382</f>
        <v>488835</v>
      </c>
      <c r="C91" s="11">
        <v>461303</v>
      </c>
      <c r="D91" s="9">
        <f t="shared" si="15"/>
        <v>516669.42</v>
      </c>
      <c r="E91" s="11" t="e">
        <f>#REF!</f>
        <v>#REF!</v>
      </c>
      <c r="F91" s="11" t="e">
        <f t="shared" si="16"/>
        <v>#REF!</v>
      </c>
      <c r="G91" s="22"/>
      <c r="H91" s="11"/>
      <c r="I91" s="11"/>
      <c r="J91" s="12"/>
      <c r="K91" s="12">
        <f t="shared" si="22"/>
        <v>0</v>
      </c>
      <c r="L91" s="13" t="e">
        <f t="shared" si="13"/>
        <v>#REF!</v>
      </c>
      <c r="M91" s="13" t="e">
        <f t="shared" si="17"/>
        <v>#REF!</v>
      </c>
      <c r="N91" s="23"/>
      <c r="O91" s="15"/>
      <c r="P91" s="15"/>
      <c r="Q91" s="15"/>
      <c r="R91" s="15"/>
      <c r="S91" s="15"/>
      <c r="T91" s="15"/>
      <c r="U91" s="15"/>
      <c r="V91" s="15"/>
      <c r="W91" s="16"/>
      <c r="X91" s="16"/>
      <c r="Y91" s="16"/>
      <c r="Z91" s="16"/>
      <c r="AA91" s="16"/>
      <c r="AB91" s="15">
        <f t="shared" si="14"/>
        <v>0</v>
      </c>
      <c r="AC91" s="5">
        <f t="shared" si="23"/>
        <v>0</v>
      </c>
      <c r="AD91" s="15" t="e">
        <f t="shared" si="18"/>
        <v>#REF!</v>
      </c>
      <c r="AE91" s="19">
        <v>114272</v>
      </c>
      <c r="AF91" s="18" t="e">
        <f t="shared" si="19"/>
        <v>#REF!</v>
      </c>
      <c r="AG91" s="17" t="e">
        <f t="shared" si="20"/>
        <v>#REF!</v>
      </c>
      <c r="AH91" s="17" t="e">
        <f t="shared" si="21"/>
        <v>#REF!</v>
      </c>
    </row>
    <row r="92" spans="1:34" ht="33.75">
      <c r="A92" s="8" t="s">
        <v>110</v>
      </c>
      <c r="B92" s="11">
        <f>1289512</f>
        <v>1289512</v>
      </c>
      <c r="C92" s="11">
        <v>537285</v>
      </c>
      <c r="D92" s="9">
        <f t="shared" si="15"/>
        <v>1004448.47</v>
      </c>
      <c r="E92" s="11" t="e">
        <f>#REF!</f>
        <v>#REF!</v>
      </c>
      <c r="F92" s="11" t="e">
        <f t="shared" si="16"/>
        <v>#REF!</v>
      </c>
      <c r="G92" s="22"/>
      <c r="H92" s="11"/>
      <c r="I92" s="11"/>
      <c r="J92" s="12"/>
      <c r="K92" s="12">
        <f t="shared" si="22"/>
        <v>0</v>
      </c>
      <c r="L92" s="13" t="e">
        <f t="shared" si="13"/>
        <v>#REF!</v>
      </c>
      <c r="M92" s="13" t="e">
        <f t="shared" si="17"/>
        <v>#REF!</v>
      </c>
      <c r="N92" s="23"/>
      <c r="O92" s="15"/>
      <c r="P92" s="15"/>
      <c r="Q92" s="15"/>
      <c r="R92" s="15"/>
      <c r="S92" s="15"/>
      <c r="T92" s="15"/>
      <c r="U92" s="15"/>
      <c r="V92" s="15"/>
      <c r="W92" s="16"/>
      <c r="X92" s="16"/>
      <c r="Y92" s="16"/>
      <c r="Z92" s="16"/>
      <c r="AA92" s="16"/>
      <c r="AB92" s="15">
        <f t="shared" si="14"/>
        <v>0</v>
      </c>
      <c r="AC92" s="5">
        <f t="shared" si="23"/>
        <v>0</v>
      </c>
      <c r="AD92" s="15" t="e">
        <f t="shared" si="18"/>
        <v>#REF!</v>
      </c>
      <c r="AE92" s="19"/>
      <c r="AF92" s="18" t="e">
        <f t="shared" si="19"/>
        <v>#REF!</v>
      </c>
      <c r="AG92" s="17" t="e">
        <f t="shared" si="20"/>
        <v>#REF!</v>
      </c>
      <c r="AH92" s="17" t="e">
        <f t="shared" si="21"/>
        <v>#REF!</v>
      </c>
    </row>
    <row r="93" spans="1:34" ht="33.75">
      <c r="A93" s="8" t="s">
        <v>111</v>
      </c>
      <c r="B93" s="11">
        <f>394746+342781</f>
        <v>737527</v>
      </c>
      <c r="C93" s="11">
        <v>863747</v>
      </c>
      <c r="D93" s="9">
        <f t="shared" si="15"/>
        <v>868014.76</v>
      </c>
      <c r="E93" s="11" t="e">
        <f>#REF!</f>
        <v>#REF!</v>
      </c>
      <c r="F93" s="11" t="e">
        <f t="shared" si="16"/>
        <v>#REF!</v>
      </c>
      <c r="G93" s="22"/>
      <c r="H93" s="11"/>
      <c r="I93" s="11"/>
      <c r="J93" s="12"/>
      <c r="K93" s="12">
        <f t="shared" si="22"/>
        <v>0</v>
      </c>
      <c r="L93" s="13" t="e">
        <f t="shared" si="13"/>
        <v>#REF!</v>
      </c>
      <c r="M93" s="13" t="e">
        <f t="shared" si="17"/>
        <v>#REF!</v>
      </c>
      <c r="N93" s="23"/>
      <c r="O93" s="15"/>
      <c r="P93" s="15"/>
      <c r="Q93" s="15"/>
      <c r="R93" s="15"/>
      <c r="S93" s="15"/>
      <c r="T93" s="15"/>
      <c r="U93" s="15"/>
      <c r="V93" s="15"/>
      <c r="W93" s="16"/>
      <c r="X93" s="16"/>
      <c r="Y93" s="16"/>
      <c r="Z93" s="16"/>
      <c r="AA93" s="16"/>
      <c r="AB93" s="15">
        <f t="shared" si="14"/>
        <v>0</v>
      </c>
      <c r="AC93" s="5">
        <f t="shared" si="23"/>
        <v>0</v>
      </c>
      <c r="AD93" s="15" t="e">
        <f t="shared" si="18"/>
        <v>#REF!</v>
      </c>
      <c r="AE93" s="19">
        <v>60945</v>
      </c>
      <c r="AF93" s="18" t="e">
        <f t="shared" si="19"/>
        <v>#REF!</v>
      </c>
      <c r="AG93" s="17" t="e">
        <f t="shared" si="20"/>
        <v>#REF!</v>
      </c>
      <c r="AH93" s="17" t="e">
        <f t="shared" si="21"/>
        <v>#REF!</v>
      </c>
    </row>
    <row r="94" spans="1:34" ht="33.75">
      <c r="A94" s="8" t="s">
        <v>112</v>
      </c>
      <c r="B94" s="11">
        <v>403911</v>
      </c>
      <c r="C94" s="11">
        <v>388964</v>
      </c>
      <c r="D94" s="9">
        <f t="shared" si="15"/>
        <v>431025.35</v>
      </c>
      <c r="E94" s="11" t="e">
        <f>#REF!</f>
        <v>#REF!</v>
      </c>
      <c r="F94" s="11" t="e">
        <f t="shared" si="16"/>
        <v>#REF!</v>
      </c>
      <c r="G94" s="22"/>
      <c r="H94" s="11"/>
      <c r="I94" s="11"/>
      <c r="J94" s="12"/>
      <c r="K94" s="12">
        <f t="shared" si="22"/>
        <v>0</v>
      </c>
      <c r="L94" s="13" t="e">
        <f t="shared" si="13"/>
        <v>#REF!</v>
      </c>
      <c r="M94" s="13" t="e">
        <f t="shared" si="17"/>
        <v>#REF!</v>
      </c>
      <c r="N94" s="23"/>
      <c r="O94" s="15"/>
      <c r="P94" s="15"/>
      <c r="Q94" s="15"/>
      <c r="R94" s="15"/>
      <c r="S94" s="15"/>
      <c r="T94" s="15"/>
      <c r="U94" s="15"/>
      <c r="V94" s="15"/>
      <c r="W94" s="16"/>
      <c r="X94" s="16"/>
      <c r="Y94" s="16"/>
      <c r="Z94" s="16"/>
      <c r="AA94" s="16"/>
      <c r="AB94" s="15">
        <f t="shared" si="14"/>
        <v>0</v>
      </c>
      <c r="AC94" s="5">
        <f t="shared" si="23"/>
        <v>0</v>
      </c>
      <c r="AD94" s="15" t="e">
        <f t="shared" si="18"/>
        <v>#REF!</v>
      </c>
      <c r="AE94" s="19"/>
      <c r="AF94" s="18" t="e">
        <f t="shared" si="19"/>
        <v>#REF!</v>
      </c>
      <c r="AG94" s="17" t="e">
        <f t="shared" si="20"/>
        <v>#REF!</v>
      </c>
      <c r="AH94" s="17" t="e">
        <f t="shared" si="21"/>
        <v>#REF!</v>
      </c>
    </row>
    <row r="95" spans="1:34" ht="33.75">
      <c r="A95" s="8" t="s">
        <v>113</v>
      </c>
      <c r="B95" s="11">
        <f>166979+185785+148254</f>
        <v>501018</v>
      </c>
      <c r="C95" s="11">
        <v>531992</v>
      </c>
      <c r="D95" s="9">
        <f t="shared" si="15"/>
        <v>560769.99</v>
      </c>
      <c r="E95" s="11" t="e">
        <f>#REF!</f>
        <v>#REF!</v>
      </c>
      <c r="F95" s="11" t="e">
        <f t="shared" si="16"/>
        <v>#REF!</v>
      </c>
      <c r="G95" s="22"/>
      <c r="H95" s="11"/>
      <c r="I95" s="11"/>
      <c r="J95" s="12"/>
      <c r="K95" s="12">
        <f t="shared" si="22"/>
        <v>0</v>
      </c>
      <c r="L95" s="13" t="e">
        <f t="shared" si="13"/>
        <v>#REF!</v>
      </c>
      <c r="M95" s="13" t="e">
        <f t="shared" si="17"/>
        <v>#REF!</v>
      </c>
      <c r="N95" s="23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6"/>
      <c r="AA95" s="16"/>
      <c r="AB95" s="15">
        <f t="shared" si="14"/>
        <v>0</v>
      </c>
      <c r="AC95" s="5">
        <f t="shared" si="23"/>
        <v>0</v>
      </c>
      <c r="AD95" s="15" t="e">
        <f t="shared" si="18"/>
        <v>#REF!</v>
      </c>
      <c r="AE95" s="19"/>
      <c r="AF95" s="18" t="e">
        <f t="shared" si="19"/>
        <v>#REF!</v>
      </c>
      <c r="AG95" s="17" t="e">
        <f t="shared" si="20"/>
        <v>#REF!</v>
      </c>
      <c r="AH95" s="17" t="e">
        <f t="shared" si="21"/>
        <v>#REF!</v>
      </c>
    </row>
    <row r="96" spans="1:34" ht="33.75">
      <c r="A96" s="8" t="s">
        <v>114</v>
      </c>
      <c r="B96" s="11">
        <v>2151120</v>
      </c>
      <c r="C96" s="11">
        <v>2032474</v>
      </c>
      <c r="D96" s="9">
        <f t="shared" si="15"/>
        <v>2274928.78</v>
      </c>
      <c r="E96" s="11" t="e">
        <f>#REF!</f>
        <v>#REF!</v>
      </c>
      <c r="F96" s="11" t="e">
        <f t="shared" si="16"/>
        <v>#REF!</v>
      </c>
      <c r="G96" s="22"/>
      <c r="H96" s="11"/>
      <c r="I96" s="54">
        <v>39606</v>
      </c>
      <c r="J96" s="12"/>
      <c r="K96" s="55">
        <f>AB96</f>
        <v>251429.7</v>
      </c>
      <c r="L96" s="13" t="e">
        <f t="shared" si="13"/>
        <v>#REF!</v>
      </c>
      <c r="M96" s="13" t="e">
        <f t="shared" si="17"/>
        <v>#REF!</v>
      </c>
      <c r="N96" s="23">
        <v>50470</v>
      </c>
      <c r="O96" s="15"/>
      <c r="P96" s="15">
        <v>2750</v>
      </c>
      <c r="Q96" s="15">
        <f>19820.97*10</f>
        <v>198209.7</v>
      </c>
      <c r="R96" s="15"/>
      <c r="S96" s="15"/>
      <c r="T96" s="15"/>
      <c r="U96" s="15"/>
      <c r="V96" s="15"/>
      <c r="W96" s="16"/>
      <c r="X96" s="16"/>
      <c r="Y96" s="16"/>
      <c r="Z96" s="16"/>
      <c r="AA96" s="16"/>
      <c r="AB96" s="15">
        <f t="shared" si="14"/>
        <v>251429.7</v>
      </c>
      <c r="AC96" s="5">
        <f t="shared" si="23"/>
        <v>0</v>
      </c>
      <c r="AD96" s="15" t="e">
        <f t="shared" si="18"/>
        <v>#REF!</v>
      </c>
      <c r="AE96" s="19"/>
      <c r="AF96" s="18" t="e">
        <f t="shared" si="19"/>
        <v>#REF!</v>
      </c>
      <c r="AG96" s="17" t="e">
        <f t="shared" si="20"/>
        <v>#REF!</v>
      </c>
      <c r="AH96" s="17" t="e">
        <f t="shared" si="21"/>
        <v>#REF!</v>
      </c>
    </row>
    <row r="97" spans="1:34" ht="33.75">
      <c r="A97" s="8" t="s">
        <v>115</v>
      </c>
      <c r="B97" s="11">
        <f>215529+224666+315788</f>
        <v>755983</v>
      </c>
      <c r="C97" s="11">
        <v>1031710</v>
      </c>
      <c r="D97" s="9">
        <f t="shared" si="15"/>
        <v>966934.92</v>
      </c>
      <c r="E97" s="11" t="e">
        <f>#REF!</f>
        <v>#REF!</v>
      </c>
      <c r="F97" s="11" t="e">
        <f t="shared" si="16"/>
        <v>#REF!</v>
      </c>
      <c r="G97" s="22"/>
      <c r="H97" s="11"/>
      <c r="I97" s="11"/>
      <c r="J97" s="12"/>
      <c r="K97" s="12">
        <f t="shared" si="22"/>
        <v>0</v>
      </c>
      <c r="L97" s="13" t="e">
        <f t="shared" si="13"/>
        <v>#REF!</v>
      </c>
      <c r="M97" s="13" t="e">
        <f t="shared" si="17"/>
        <v>#REF!</v>
      </c>
      <c r="N97" s="23"/>
      <c r="O97" s="15"/>
      <c r="P97" s="15"/>
      <c r="Q97" s="15"/>
      <c r="R97" s="15"/>
      <c r="S97" s="15"/>
      <c r="T97" s="15"/>
      <c r="U97" s="15"/>
      <c r="V97" s="15"/>
      <c r="W97" s="16"/>
      <c r="X97" s="16"/>
      <c r="Y97" s="16"/>
      <c r="Z97" s="16"/>
      <c r="AA97" s="16"/>
      <c r="AB97" s="15">
        <f t="shared" si="14"/>
        <v>0</v>
      </c>
      <c r="AC97" s="5">
        <f t="shared" si="23"/>
        <v>0</v>
      </c>
      <c r="AD97" s="15" t="e">
        <f t="shared" si="18"/>
        <v>#REF!</v>
      </c>
      <c r="AE97" s="19"/>
      <c r="AF97" s="18" t="e">
        <f t="shared" si="19"/>
        <v>#REF!</v>
      </c>
      <c r="AG97" s="17" t="e">
        <f t="shared" si="20"/>
        <v>#REF!</v>
      </c>
      <c r="AH97" s="17" t="e">
        <f t="shared" si="21"/>
        <v>#REF!</v>
      </c>
    </row>
    <row r="98" spans="1:34" ht="33.75">
      <c r="A98" s="8" t="s">
        <v>116</v>
      </c>
      <c r="B98" s="11">
        <f>423564+173749</f>
        <v>597313</v>
      </c>
      <c r="C98" s="11">
        <v>495296</v>
      </c>
      <c r="D98" s="9">
        <f t="shared" si="15"/>
        <v>595256.2</v>
      </c>
      <c r="E98" s="11" t="e">
        <f>#REF!</f>
        <v>#REF!</v>
      </c>
      <c r="F98" s="11" t="e">
        <f t="shared" si="16"/>
        <v>#REF!</v>
      </c>
      <c r="G98" s="22"/>
      <c r="H98" s="11"/>
      <c r="I98" s="11"/>
      <c r="J98" s="12"/>
      <c r="K98" s="12">
        <f t="shared" si="22"/>
        <v>0</v>
      </c>
      <c r="L98" s="13" t="e">
        <f>E98+G98+H98+I98+J98+K98</f>
        <v>#REF!</v>
      </c>
      <c r="M98" s="13" t="e">
        <f>ROUND(L98*1.055,)</f>
        <v>#REF!</v>
      </c>
      <c r="N98" s="23"/>
      <c r="O98" s="15"/>
      <c r="P98" s="15"/>
      <c r="Q98" s="15"/>
      <c r="R98" s="15"/>
      <c r="S98" s="15"/>
      <c r="T98" s="15"/>
      <c r="U98" s="15"/>
      <c r="V98" s="15"/>
      <c r="W98" s="16"/>
      <c r="X98" s="16"/>
      <c r="Y98" s="16"/>
      <c r="Z98" s="16"/>
      <c r="AA98" s="16"/>
      <c r="AB98" s="15">
        <f t="shared" si="14"/>
        <v>0</v>
      </c>
      <c r="AC98" s="5">
        <f t="shared" si="23"/>
        <v>0</v>
      </c>
      <c r="AD98" s="15" t="e">
        <f t="shared" si="18"/>
        <v>#REF!</v>
      </c>
      <c r="AE98" s="19"/>
      <c r="AF98" s="18" t="e">
        <f t="shared" si="19"/>
        <v>#REF!</v>
      </c>
      <c r="AG98" s="17" t="e">
        <f t="shared" si="20"/>
        <v>#REF!</v>
      </c>
      <c r="AH98" s="17" t="e">
        <f t="shared" si="21"/>
        <v>#REF!</v>
      </c>
    </row>
    <row r="99" spans="1:34" ht="33.75">
      <c r="A99" s="8" t="s">
        <v>117</v>
      </c>
      <c r="B99" s="24">
        <f>875695+147993+1416428.65</f>
        <v>2440116.65</v>
      </c>
      <c r="C99" s="11">
        <v>1143472</v>
      </c>
      <c r="D99" s="9">
        <f t="shared" si="15"/>
        <v>1967572.7</v>
      </c>
      <c r="E99" s="11" t="e">
        <f>#REF!</f>
        <v>#REF!</v>
      </c>
      <c r="F99" s="11" t="e">
        <f t="shared" si="16"/>
        <v>#REF!</v>
      </c>
      <c r="G99" s="22"/>
      <c r="H99" s="11"/>
      <c r="I99" s="11"/>
      <c r="J99" s="12"/>
      <c r="K99" s="12">
        <f t="shared" si="22"/>
        <v>0</v>
      </c>
      <c r="L99" s="13" t="e">
        <f t="shared" si="13"/>
        <v>#REF!</v>
      </c>
      <c r="M99" s="13" t="e">
        <f t="shared" si="17"/>
        <v>#REF!</v>
      </c>
      <c r="N99" s="23"/>
      <c r="O99" s="15"/>
      <c r="P99" s="15"/>
      <c r="Q99" s="15"/>
      <c r="R99" s="15"/>
      <c r="S99" s="15"/>
      <c r="T99" s="15"/>
      <c r="U99" s="15"/>
      <c r="V99" s="15"/>
      <c r="W99" s="16"/>
      <c r="X99" s="16"/>
      <c r="Y99" s="16"/>
      <c r="Z99" s="16"/>
      <c r="AA99" s="16"/>
      <c r="AB99" s="15">
        <f t="shared" si="14"/>
        <v>0</v>
      </c>
      <c r="AC99" s="5">
        <f t="shared" si="23"/>
        <v>0</v>
      </c>
      <c r="AD99" s="15" t="e">
        <f t="shared" si="18"/>
        <v>#REF!</v>
      </c>
      <c r="AE99" s="19"/>
      <c r="AF99" s="18" t="e">
        <f t="shared" si="19"/>
        <v>#REF!</v>
      </c>
      <c r="AG99" s="17" t="e">
        <f t="shared" si="20"/>
        <v>#REF!</v>
      </c>
      <c r="AH99" s="17" t="e">
        <f t="shared" si="21"/>
        <v>#REF!</v>
      </c>
    </row>
    <row r="100" spans="1:34" ht="33.75">
      <c r="A100" s="8" t="s">
        <v>118</v>
      </c>
      <c r="B100" s="11">
        <f>309533+305195</f>
        <v>614728</v>
      </c>
      <c r="C100" s="11">
        <v>565330</v>
      </c>
      <c r="D100" s="9">
        <f t="shared" si="15"/>
        <v>641936.74</v>
      </c>
      <c r="E100" s="11" t="e">
        <f>#REF!</f>
        <v>#REF!</v>
      </c>
      <c r="F100" s="11" t="e">
        <f t="shared" si="16"/>
        <v>#REF!</v>
      </c>
      <c r="G100" s="22"/>
      <c r="H100" s="11"/>
      <c r="I100" s="11"/>
      <c r="J100" s="12"/>
      <c r="K100" s="12">
        <f t="shared" si="22"/>
        <v>0</v>
      </c>
      <c r="L100" s="13" t="e">
        <f t="shared" si="13"/>
        <v>#REF!</v>
      </c>
      <c r="M100" s="13" t="e">
        <f t="shared" si="17"/>
        <v>#REF!</v>
      </c>
      <c r="N100" s="23"/>
      <c r="O100" s="15"/>
      <c r="P100" s="15"/>
      <c r="Q100" s="15"/>
      <c r="R100" s="15"/>
      <c r="S100" s="15"/>
      <c r="T100" s="15"/>
      <c r="U100" s="15"/>
      <c r="V100" s="15"/>
      <c r="W100" s="16"/>
      <c r="X100" s="16"/>
      <c r="Y100" s="16"/>
      <c r="Z100" s="16"/>
      <c r="AA100" s="16"/>
      <c r="AB100" s="15">
        <f t="shared" si="14"/>
        <v>0</v>
      </c>
      <c r="AC100" s="5">
        <f t="shared" si="23"/>
        <v>0</v>
      </c>
      <c r="AD100" s="15" t="e">
        <f t="shared" si="18"/>
        <v>#REF!</v>
      </c>
      <c r="AE100" s="19"/>
      <c r="AF100" s="18" t="e">
        <f t="shared" si="19"/>
        <v>#REF!</v>
      </c>
      <c r="AG100" s="17" t="e">
        <f t="shared" si="20"/>
        <v>#REF!</v>
      </c>
      <c r="AH100" s="17" t="e">
        <f t="shared" si="21"/>
        <v>#REF!</v>
      </c>
    </row>
    <row r="101" spans="1:34" ht="33.75">
      <c r="A101" s="8" t="s">
        <v>119</v>
      </c>
      <c r="B101" s="11">
        <f>323995+166172+116494</f>
        <v>606661</v>
      </c>
      <c r="C101" s="11">
        <v>537396</v>
      </c>
      <c r="D101" s="9">
        <f t="shared" si="15"/>
        <v>622690.89</v>
      </c>
      <c r="E101" s="11" t="e">
        <f>#REF!</f>
        <v>#REF!</v>
      </c>
      <c r="F101" s="11" t="e">
        <f t="shared" si="16"/>
        <v>#REF!</v>
      </c>
      <c r="G101" s="22"/>
      <c r="H101" s="11"/>
      <c r="I101" s="11"/>
      <c r="J101" s="12"/>
      <c r="K101" s="12">
        <f t="shared" si="22"/>
        <v>0</v>
      </c>
      <c r="L101" s="13" t="e">
        <f t="shared" si="13"/>
        <v>#REF!</v>
      </c>
      <c r="M101" s="13" t="e">
        <f t="shared" si="17"/>
        <v>#REF!</v>
      </c>
      <c r="N101" s="23"/>
      <c r="O101" s="15"/>
      <c r="P101" s="15"/>
      <c r="Q101" s="15"/>
      <c r="R101" s="15"/>
      <c r="S101" s="15"/>
      <c r="T101" s="15"/>
      <c r="U101" s="15"/>
      <c r="V101" s="15"/>
      <c r="W101" s="16"/>
      <c r="X101" s="16"/>
      <c r="Y101" s="16"/>
      <c r="Z101" s="16"/>
      <c r="AA101" s="16"/>
      <c r="AB101" s="15">
        <f t="shared" si="14"/>
        <v>0</v>
      </c>
      <c r="AC101" s="5">
        <f t="shared" si="23"/>
        <v>0</v>
      </c>
      <c r="AD101" s="15" t="e">
        <f t="shared" si="18"/>
        <v>#REF!</v>
      </c>
      <c r="AE101" s="19">
        <v>60946</v>
      </c>
      <c r="AF101" s="18" t="e">
        <f t="shared" si="19"/>
        <v>#REF!</v>
      </c>
      <c r="AG101" s="17" t="e">
        <f t="shared" si="20"/>
        <v>#REF!</v>
      </c>
      <c r="AH101" s="17" t="e">
        <f t="shared" si="21"/>
        <v>#REF!</v>
      </c>
    </row>
    <row r="102" spans="1:34" ht="33.75">
      <c r="A102" s="8" t="s">
        <v>120</v>
      </c>
      <c r="B102" s="11">
        <f>314171+101566+288536</f>
        <v>704273</v>
      </c>
      <c r="C102" s="11">
        <v>777272</v>
      </c>
      <c r="D102" s="9">
        <f t="shared" si="15"/>
        <v>803805.23</v>
      </c>
      <c r="E102" s="11" t="e">
        <f>#REF!</f>
        <v>#REF!</v>
      </c>
      <c r="F102" s="11" t="e">
        <f t="shared" si="16"/>
        <v>#REF!</v>
      </c>
      <c r="G102" s="22"/>
      <c r="H102" s="11"/>
      <c r="I102" s="11"/>
      <c r="J102" s="12"/>
      <c r="K102" s="12">
        <f t="shared" si="22"/>
        <v>0</v>
      </c>
      <c r="L102" s="13" t="e">
        <f t="shared" si="13"/>
        <v>#REF!</v>
      </c>
      <c r="M102" s="13" t="e">
        <f t="shared" si="17"/>
        <v>#REF!</v>
      </c>
      <c r="N102" s="23"/>
      <c r="O102" s="15"/>
      <c r="P102" s="15"/>
      <c r="Q102" s="15"/>
      <c r="R102" s="15"/>
      <c r="S102" s="15"/>
      <c r="T102" s="15"/>
      <c r="U102" s="15"/>
      <c r="V102" s="15"/>
      <c r="W102" s="16"/>
      <c r="X102" s="16"/>
      <c r="Y102" s="16"/>
      <c r="Z102" s="16"/>
      <c r="AA102" s="16"/>
      <c r="AB102" s="15">
        <f t="shared" si="14"/>
        <v>0</v>
      </c>
      <c r="AC102" s="5">
        <f t="shared" si="23"/>
        <v>0</v>
      </c>
      <c r="AD102" s="15" t="e">
        <f t="shared" si="18"/>
        <v>#REF!</v>
      </c>
      <c r="AE102" s="19"/>
      <c r="AF102" s="18" t="e">
        <f t="shared" si="19"/>
        <v>#REF!</v>
      </c>
      <c r="AG102" s="17" t="e">
        <f t="shared" si="20"/>
        <v>#REF!</v>
      </c>
      <c r="AH102" s="17" t="e">
        <f t="shared" si="21"/>
        <v>#REF!</v>
      </c>
    </row>
    <row r="103" spans="1:34" ht="33.75">
      <c r="A103" s="8" t="s">
        <v>121</v>
      </c>
      <c r="B103" s="11">
        <f>287729+313361+149122</f>
        <v>750212</v>
      </c>
      <c r="C103" s="11">
        <v>931535</v>
      </c>
      <c r="D103" s="9">
        <f t="shared" si="15"/>
        <v>910865.75</v>
      </c>
      <c r="E103" s="11" t="e">
        <f>#REF!</f>
        <v>#REF!</v>
      </c>
      <c r="F103" s="11" t="e">
        <f t="shared" si="16"/>
        <v>#REF!</v>
      </c>
      <c r="G103" s="22"/>
      <c r="H103" s="11"/>
      <c r="I103" s="11"/>
      <c r="J103" s="12"/>
      <c r="K103" s="12">
        <f t="shared" si="22"/>
        <v>0</v>
      </c>
      <c r="L103" s="13" t="e">
        <f t="shared" si="13"/>
        <v>#REF!</v>
      </c>
      <c r="M103" s="13" t="e">
        <f t="shared" si="17"/>
        <v>#REF!</v>
      </c>
      <c r="N103" s="23"/>
      <c r="O103" s="15"/>
      <c r="P103" s="15"/>
      <c r="Q103" s="15"/>
      <c r="R103" s="15"/>
      <c r="S103" s="15"/>
      <c r="T103" s="15"/>
      <c r="U103" s="15"/>
      <c r="V103" s="15"/>
      <c r="W103" s="16"/>
      <c r="X103" s="16"/>
      <c r="Y103" s="16"/>
      <c r="Z103" s="16"/>
      <c r="AA103" s="16"/>
      <c r="AB103" s="15">
        <f t="shared" si="14"/>
        <v>0</v>
      </c>
      <c r="AC103" s="5">
        <f t="shared" si="23"/>
        <v>0</v>
      </c>
      <c r="AD103" s="15" t="e">
        <f t="shared" si="18"/>
        <v>#REF!</v>
      </c>
      <c r="AE103" s="19"/>
      <c r="AF103" s="18" t="e">
        <f t="shared" si="19"/>
        <v>#REF!</v>
      </c>
      <c r="AG103" s="17" t="e">
        <f t="shared" si="20"/>
        <v>#REF!</v>
      </c>
      <c r="AH103" s="17" t="e">
        <f t="shared" si="21"/>
        <v>#REF!</v>
      </c>
    </row>
    <row r="104" spans="1:34" ht="33.75">
      <c r="A104" s="8" t="s">
        <v>122</v>
      </c>
      <c r="B104" s="11">
        <v>717605</v>
      </c>
      <c r="C104" s="11">
        <v>679413</v>
      </c>
      <c r="D104" s="9">
        <f t="shared" si="15"/>
        <v>759639.19</v>
      </c>
      <c r="E104" s="11" t="e">
        <f>#REF!</f>
        <v>#REF!</v>
      </c>
      <c r="F104" s="11" t="e">
        <f t="shared" si="16"/>
        <v>#REF!</v>
      </c>
      <c r="G104" s="22"/>
      <c r="H104" s="11"/>
      <c r="I104" s="11"/>
      <c r="J104" s="12"/>
      <c r="K104" s="12">
        <f t="shared" si="22"/>
        <v>0</v>
      </c>
      <c r="L104" s="13" t="e">
        <f t="shared" si="13"/>
        <v>#REF!</v>
      </c>
      <c r="M104" s="13" t="e">
        <f t="shared" si="17"/>
        <v>#REF!</v>
      </c>
      <c r="N104" s="23"/>
      <c r="O104" s="15"/>
      <c r="P104" s="15"/>
      <c r="Q104" s="15"/>
      <c r="R104" s="15"/>
      <c r="S104" s="15"/>
      <c r="T104" s="15"/>
      <c r="U104" s="15"/>
      <c r="V104" s="15"/>
      <c r="W104" s="16"/>
      <c r="X104" s="16"/>
      <c r="Y104" s="16"/>
      <c r="Z104" s="16"/>
      <c r="AA104" s="16"/>
      <c r="AB104" s="15">
        <f t="shared" si="14"/>
        <v>0</v>
      </c>
      <c r="AC104" s="5">
        <f t="shared" si="23"/>
        <v>0</v>
      </c>
      <c r="AD104" s="15" t="e">
        <f t="shared" si="18"/>
        <v>#REF!</v>
      </c>
      <c r="AE104" s="19"/>
      <c r="AF104" s="18" t="e">
        <f t="shared" si="19"/>
        <v>#REF!</v>
      </c>
      <c r="AG104" s="17" t="e">
        <f t="shared" si="20"/>
        <v>#REF!</v>
      </c>
      <c r="AH104" s="17" t="e">
        <f t="shared" si="21"/>
        <v>#REF!</v>
      </c>
    </row>
    <row r="105" spans="1:34" ht="33.75">
      <c r="A105" s="8" t="s">
        <v>123</v>
      </c>
      <c r="B105" s="11">
        <f>298003+237387+265452</f>
        <v>800842</v>
      </c>
      <c r="C105" s="11">
        <v>735304</v>
      </c>
      <c r="D105" s="9">
        <f t="shared" si="15"/>
        <v>835663.66</v>
      </c>
      <c r="E105" s="11" t="e">
        <f>#REF!</f>
        <v>#REF!</v>
      </c>
      <c r="F105" s="11" t="e">
        <f t="shared" si="16"/>
        <v>#REF!</v>
      </c>
      <c r="G105" s="22"/>
      <c r="H105" s="11"/>
      <c r="I105" s="11"/>
      <c r="J105" s="12"/>
      <c r="K105" s="12">
        <f t="shared" si="22"/>
        <v>0</v>
      </c>
      <c r="L105" s="13" t="e">
        <f t="shared" si="13"/>
        <v>#REF!</v>
      </c>
      <c r="M105" s="13" t="e">
        <f t="shared" si="17"/>
        <v>#REF!</v>
      </c>
      <c r="N105" s="23"/>
      <c r="O105" s="15"/>
      <c r="P105" s="15"/>
      <c r="Q105" s="15"/>
      <c r="R105" s="15"/>
      <c r="S105" s="15"/>
      <c r="T105" s="15"/>
      <c r="U105" s="15"/>
      <c r="V105" s="15"/>
      <c r="W105" s="16"/>
      <c r="X105" s="16"/>
      <c r="Y105" s="16"/>
      <c r="Z105" s="16"/>
      <c r="AA105" s="16"/>
      <c r="AB105" s="15">
        <f t="shared" si="14"/>
        <v>0</v>
      </c>
      <c r="AC105" s="5">
        <f t="shared" si="23"/>
        <v>0</v>
      </c>
      <c r="AD105" s="15" t="e">
        <f t="shared" si="18"/>
        <v>#REF!</v>
      </c>
      <c r="AE105" s="19"/>
      <c r="AF105" s="18" t="e">
        <f t="shared" si="19"/>
        <v>#REF!</v>
      </c>
      <c r="AG105" s="17" t="e">
        <f t="shared" si="20"/>
        <v>#REF!</v>
      </c>
      <c r="AH105" s="17" t="e">
        <f t="shared" si="21"/>
        <v>#REF!</v>
      </c>
    </row>
    <row r="106" spans="1:34" ht="33.75">
      <c r="A106" s="8" t="s">
        <v>124</v>
      </c>
      <c r="B106" s="11">
        <f>282031+199462+249606</f>
        <v>731099</v>
      </c>
      <c r="C106" s="11">
        <v>827723</v>
      </c>
      <c r="D106" s="9">
        <f t="shared" si="15"/>
        <v>845417.89</v>
      </c>
      <c r="E106" s="11" t="e">
        <f>#REF!</f>
        <v>#REF!</v>
      </c>
      <c r="F106" s="11" t="e">
        <f t="shared" si="16"/>
        <v>#REF!</v>
      </c>
      <c r="G106" s="22"/>
      <c r="H106" s="11"/>
      <c r="I106" s="11"/>
      <c r="J106" s="12"/>
      <c r="K106" s="12">
        <f t="shared" si="22"/>
        <v>0</v>
      </c>
      <c r="L106" s="13" t="e">
        <f t="shared" si="13"/>
        <v>#REF!</v>
      </c>
      <c r="M106" s="13" t="e">
        <f t="shared" si="17"/>
        <v>#REF!</v>
      </c>
      <c r="N106" s="23"/>
      <c r="O106" s="15"/>
      <c r="P106" s="15"/>
      <c r="Q106" s="15"/>
      <c r="R106" s="15"/>
      <c r="S106" s="15"/>
      <c r="T106" s="15"/>
      <c r="U106" s="15"/>
      <c r="V106" s="15"/>
      <c r="W106" s="16"/>
      <c r="X106" s="16"/>
      <c r="Y106" s="16"/>
      <c r="Z106" s="16"/>
      <c r="AA106" s="16"/>
      <c r="AB106" s="15">
        <f t="shared" si="14"/>
        <v>0</v>
      </c>
      <c r="AC106" s="5">
        <f t="shared" si="23"/>
        <v>0</v>
      </c>
      <c r="AD106" s="15" t="e">
        <f t="shared" si="18"/>
        <v>#REF!</v>
      </c>
      <c r="AE106" s="19"/>
      <c r="AF106" s="18" t="e">
        <f t="shared" si="19"/>
        <v>#REF!</v>
      </c>
      <c r="AG106" s="17" t="e">
        <f t="shared" si="20"/>
        <v>#REF!</v>
      </c>
      <c r="AH106" s="17" t="e">
        <f t="shared" si="21"/>
        <v>#REF!</v>
      </c>
    </row>
    <row r="107" spans="1:34" ht="33.75">
      <c r="A107" s="8" t="s">
        <v>125</v>
      </c>
      <c r="B107" s="11">
        <f>420452+318149</f>
        <v>738601</v>
      </c>
      <c r="C107" s="11">
        <v>729680</v>
      </c>
      <c r="D107" s="9">
        <f t="shared" si="15"/>
        <v>797894.95</v>
      </c>
      <c r="E107" s="11" t="e">
        <f>#REF!</f>
        <v>#REF!</v>
      </c>
      <c r="F107" s="11" t="e">
        <f t="shared" si="16"/>
        <v>#REF!</v>
      </c>
      <c r="G107" s="22"/>
      <c r="H107" s="11"/>
      <c r="I107" s="11"/>
      <c r="J107" s="12"/>
      <c r="K107" s="12">
        <f t="shared" si="22"/>
        <v>0</v>
      </c>
      <c r="L107" s="13" t="e">
        <f t="shared" si="13"/>
        <v>#REF!</v>
      </c>
      <c r="M107" s="13" t="e">
        <f t="shared" si="17"/>
        <v>#REF!</v>
      </c>
      <c r="N107" s="23"/>
      <c r="O107" s="15"/>
      <c r="P107" s="15"/>
      <c r="Q107" s="15"/>
      <c r="R107" s="15"/>
      <c r="S107" s="15"/>
      <c r="T107" s="15"/>
      <c r="U107" s="15"/>
      <c r="V107" s="15"/>
      <c r="W107" s="16"/>
      <c r="X107" s="16"/>
      <c r="Y107" s="16"/>
      <c r="Z107" s="16"/>
      <c r="AA107" s="16"/>
      <c r="AB107" s="15">
        <f t="shared" si="14"/>
        <v>0</v>
      </c>
      <c r="AC107" s="5">
        <f t="shared" si="23"/>
        <v>0</v>
      </c>
      <c r="AD107" s="15" t="e">
        <f t="shared" si="18"/>
        <v>#REF!</v>
      </c>
      <c r="AE107" s="19"/>
      <c r="AF107" s="18" t="e">
        <f t="shared" si="19"/>
        <v>#REF!</v>
      </c>
      <c r="AG107" s="17" t="e">
        <f t="shared" si="20"/>
        <v>#REF!</v>
      </c>
      <c r="AH107" s="17" t="e">
        <f t="shared" si="21"/>
        <v>#REF!</v>
      </c>
    </row>
    <row r="108" spans="1:34" ht="33.75">
      <c r="A108" s="8" t="s">
        <v>126</v>
      </c>
      <c r="B108" s="11">
        <v>725410</v>
      </c>
      <c r="C108" s="11">
        <v>750097</v>
      </c>
      <c r="D108" s="9">
        <f t="shared" si="15"/>
        <v>801289.17</v>
      </c>
      <c r="E108" s="11" t="e">
        <f>#REF!</f>
        <v>#REF!</v>
      </c>
      <c r="F108" s="11" t="e">
        <f t="shared" si="16"/>
        <v>#REF!</v>
      </c>
      <c r="G108" s="22"/>
      <c r="H108" s="11"/>
      <c r="I108" s="11"/>
      <c r="J108" s="12"/>
      <c r="K108" s="12">
        <f t="shared" si="22"/>
        <v>0</v>
      </c>
      <c r="L108" s="13" t="e">
        <f t="shared" si="13"/>
        <v>#REF!</v>
      </c>
      <c r="M108" s="13" t="e">
        <f t="shared" si="17"/>
        <v>#REF!</v>
      </c>
      <c r="N108" s="23"/>
      <c r="O108" s="15"/>
      <c r="P108" s="15"/>
      <c r="Q108" s="15"/>
      <c r="R108" s="15"/>
      <c r="S108" s="15"/>
      <c r="T108" s="15"/>
      <c r="U108" s="15"/>
      <c r="V108" s="15"/>
      <c r="W108" s="16"/>
      <c r="X108" s="16"/>
      <c r="Y108" s="16"/>
      <c r="Z108" s="16"/>
      <c r="AA108" s="16"/>
      <c r="AB108" s="15">
        <f t="shared" si="14"/>
        <v>0</v>
      </c>
      <c r="AC108" s="5">
        <f t="shared" si="23"/>
        <v>0</v>
      </c>
      <c r="AD108" s="15" t="e">
        <f t="shared" si="18"/>
        <v>#REF!</v>
      </c>
      <c r="AE108" s="19"/>
      <c r="AF108" s="18" t="e">
        <f t="shared" si="19"/>
        <v>#REF!</v>
      </c>
      <c r="AG108" s="17" t="e">
        <f t="shared" si="20"/>
        <v>#REF!</v>
      </c>
      <c r="AH108" s="17" t="e">
        <f t="shared" si="21"/>
        <v>#REF!</v>
      </c>
    </row>
    <row r="109" spans="1:34" ht="33.75">
      <c r="A109" s="8" t="s">
        <v>127</v>
      </c>
      <c r="B109" s="11">
        <v>705513</v>
      </c>
      <c r="C109" s="11">
        <v>965540</v>
      </c>
      <c r="D109" s="9">
        <f t="shared" si="15"/>
        <v>903809.94</v>
      </c>
      <c r="E109" s="11" t="e">
        <f>#REF!</f>
        <v>#REF!</v>
      </c>
      <c r="F109" s="11" t="e">
        <f t="shared" si="16"/>
        <v>#REF!</v>
      </c>
      <c r="G109" s="22"/>
      <c r="H109" s="11"/>
      <c r="I109" s="11"/>
      <c r="J109" s="12"/>
      <c r="K109" s="12">
        <f t="shared" si="22"/>
        <v>0</v>
      </c>
      <c r="L109" s="25" t="e">
        <f t="shared" si="13"/>
        <v>#REF!</v>
      </c>
      <c r="M109" s="13" t="e">
        <f t="shared" si="17"/>
        <v>#REF!</v>
      </c>
      <c r="N109" s="23"/>
      <c r="O109" s="15"/>
      <c r="P109" s="15"/>
      <c r="Q109" s="15"/>
      <c r="R109" s="15"/>
      <c r="S109" s="15"/>
      <c r="T109" s="15"/>
      <c r="U109" s="15"/>
      <c r="V109" s="15"/>
      <c r="W109" s="16"/>
      <c r="X109" s="16"/>
      <c r="Y109" s="16"/>
      <c r="Z109" s="16"/>
      <c r="AA109" s="16"/>
      <c r="AB109" s="15">
        <f t="shared" si="14"/>
        <v>0</v>
      </c>
      <c r="AC109" s="5">
        <f t="shared" si="23"/>
        <v>0</v>
      </c>
      <c r="AD109" s="15" t="e">
        <f t="shared" si="18"/>
        <v>#REF!</v>
      </c>
      <c r="AE109" s="19"/>
      <c r="AF109" s="18" t="e">
        <f t="shared" si="19"/>
        <v>#REF!</v>
      </c>
      <c r="AG109" s="17" t="e">
        <f t="shared" si="20"/>
        <v>#REF!</v>
      </c>
      <c r="AH109" s="17" t="e">
        <f t="shared" si="21"/>
        <v>#REF!</v>
      </c>
    </row>
    <row r="110" spans="1:34" ht="33.75">
      <c r="A110" s="26" t="s">
        <v>0</v>
      </c>
      <c r="B110" s="11">
        <v>3078774</v>
      </c>
      <c r="C110" s="24">
        <v>3401900</v>
      </c>
      <c r="D110" s="9">
        <f t="shared" si="15"/>
        <v>3515998.73</v>
      </c>
      <c r="E110" s="11" t="e">
        <f>#REF!</f>
        <v>#REF!</v>
      </c>
      <c r="F110" s="11" t="e">
        <f t="shared" si="16"/>
        <v>#REF!</v>
      </c>
      <c r="G110" s="22"/>
      <c r="H110" s="11"/>
      <c r="I110" s="11"/>
      <c r="J110" s="12"/>
      <c r="K110" s="55">
        <f t="shared" si="22"/>
        <v>49036</v>
      </c>
      <c r="L110" s="13" t="e">
        <f t="shared" si="13"/>
        <v>#REF!</v>
      </c>
      <c r="M110" s="13" t="e">
        <f t="shared" si="17"/>
        <v>#REF!</v>
      </c>
      <c r="N110" s="23">
        <f>19210+18090</f>
        <v>37300</v>
      </c>
      <c r="O110" s="15"/>
      <c r="P110" s="15">
        <v>11736</v>
      </c>
      <c r="Q110" s="15"/>
      <c r="R110" s="15"/>
      <c r="S110" s="15"/>
      <c r="T110" s="15"/>
      <c r="U110" s="15"/>
      <c r="V110" s="15"/>
      <c r="W110" s="16"/>
      <c r="X110" s="16"/>
      <c r="Y110" s="16"/>
      <c r="Z110" s="16"/>
      <c r="AA110" s="16"/>
      <c r="AB110" s="15">
        <f t="shared" si="14"/>
        <v>49036</v>
      </c>
      <c r="AC110" s="5">
        <f t="shared" si="23"/>
        <v>0</v>
      </c>
      <c r="AD110" s="15" t="e">
        <f t="shared" si="18"/>
        <v>#REF!</v>
      </c>
      <c r="AE110" s="19"/>
      <c r="AF110" s="18" t="e">
        <f t="shared" si="19"/>
        <v>#REF!</v>
      </c>
      <c r="AG110" s="17" t="e">
        <f t="shared" si="20"/>
        <v>#REF!</v>
      </c>
      <c r="AH110" s="17" t="e">
        <f t="shared" si="21"/>
        <v>#REF!</v>
      </c>
    </row>
    <row r="111" spans="1:34" ht="33.75">
      <c r="A111" s="8" t="s">
        <v>128</v>
      </c>
      <c r="B111" s="11">
        <f>1157106+122975</f>
        <v>1280081</v>
      </c>
      <c r="C111" s="11">
        <v>1034557</v>
      </c>
      <c r="D111" s="9">
        <f t="shared" si="15"/>
        <v>1261486.11</v>
      </c>
      <c r="E111" s="11" t="e">
        <f>#REF!</f>
        <v>#REF!</v>
      </c>
      <c r="F111" s="11" t="e">
        <f t="shared" si="16"/>
        <v>#REF!</v>
      </c>
      <c r="G111" s="22"/>
      <c r="H111" s="11"/>
      <c r="I111" s="11"/>
      <c r="J111" s="12"/>
      <c r="K111" s="12">
        <f t="shared" si="22"/>
        <v>0</v>
      </c>
      <c r="L111" s="13" t="e">
        <f t="shared" si="13"/>
        <v>#REF!</v>
      </c>
      <c r="M111" s="13" t="e">
        <f t="shared" si="17"/>
        <v>#REF!</v>
      </c>
      <c r="N111" s="23"/>
      <c r="O111" s="15"/>
      <c r="P111" s="15"/>
      <c r="Q111" s="15"/>
      <c r="R111" s="15"/>
      <c r="S111" s="15"/>
      <c r="T111" s="15"/>
      <c r="U111" s="15"/>
      <c r="V111" s="15"/>
      <c r="W111" s="16"/>
      <c r="X111" s="16"/>
      <c r="Y111" s="16"/>
      <c r="Z111" s="16"/>
      <c r="AA111" s="16"/>
      <c r="AB111" s="15">
        <f t="shared" si="14"/>
        <v>0</v>
      </c>
      <c r="AC111" s="5">
        <f t="shared" si="23"/>
        <v>0</v>
      </c>
      <c r="AD111" s="15" t="e">
        <f t="shared" si="18"/>
        <v>#REF!</v>
      </c>
      <c r="AE111" s="19"/>
      <c r="AF111" s="18" t="e">
        <f t="shared" si="19"/>
        <v>#REF!</v>
      </c>
      <c r="AG111" s="17" t="e">
        <f t="shared" si="20"/>
        <v>#REF!</v>
      </c>
      <c r="AH111" s="17" t="e">
        <f t="shared" si="21"/>
        <v>#REF!</v>
      </c>
    </row>
    <row r="112" spans="1:34" ht="33.75">
      <c r="A112" s="8" t="s">
        <v>129</v>
      </c>
      <c r="B112" s="11">
        <v>332633</v>
      </c>
      <c r="C112" s="11">
        <v>387646</v>
      </c>
      <c r="D112" s="9">
        <f t="shared" si="15"/>
        <v>390475.01</v>
      </c>
      <c r="E112" s="11" t="e">
        <f>#REF!</f>
        <v>#REF!</v>
      </c>
      <c r="F112" s="11" t="e">
        <f t="shared" si="16"/>
        <v>#REF!</v>
      </c>
      <c r="G112" s="22"/>
      <c r="H112" s="11"/>
      <c r="I112" s="11"/>
      <c r="J112" s="12"/>
      <c r="K112" s="12">
        <f t="shared" si="22"/>
        <v>0</v>
      </c>
      <c r="L112" s="13" t="e">
        <f t="shared" si="13"/>
        <v>#REF!</v>
      </c>
      <c r="M112" s="13" t="e">
        <f t="shared" si="17"/>
        <v>#REF!</v>
      </c>
      <c r="N112" s="23"/>
      <c r="O112" s="15"/>
      <c r="P112" s="15"/>
      <c r="Q112" s="15"/>
      <c r="R112" s="15"/>
      <c r="S112" s="15"/>
      <c r="T112" s="15"/>
      <c r="U112" s="15"/>
      <c r="V112" s="15"/>
      <c r="W112" s="16"/>
      <c r="X112" s="16"/>
      <c r="Y112" s="16"/>
      <c r="Z112" s="16"/>
      <c r="AA112" s="16"/>
      <c r="AB112" s="15">
        <f t="shared" si="14"/>
        <v>0</v>
      </c>
      <c r="AC112" s="5">
        <f t="shared" si="23"/>
        <v>0</v>
      </c>
      <c r="AD112" s="15" t="e">
        <f t="shared" si="18"/>
        <v>#REF!</v>
      </c>
      <c r="AE112" s="19">
        <v>53327</v>
      </c>
      <c r="AF112" s="18" t="e">
        <f t="shared" si="19"/>
        <v>#REF!</v>
      </c>
      <c r="AG112" s="17" t="e">
        <f t="shared" si="20"/>
        <v>#REF!</v>
      </c>
      <c r="AH112" s="17" t="e">
        <f t="shared" si="21"/>
        <v>#REF!</v>
      </c>
    </row>
    <row r="113" spans="1:34" ht="33.75">
      <c r="A113" s="27" t="s">
        <v>155</v>
      </c>
      <c r="B113" s="11">
        <v>123423.07</v>
      </c>
      <c r="C113" s="11">
        <v>261439</v>
      </c>
      <c r="D113" s="9">
        <f t="shared" si="15"/>
        <v>206921.08</v>
      </c>
      <c r="E113" s="11" t="e">
        <f>#REF!</f>
        <v>#REF!</v>
      </c>
      <c r="F113" s="11" t="e">
        <f t="shared" si="16"/>
        <v>#REF!</v>
      </c>
      <c r="G113" s="22"/>
      <c r="H113" s="11"/>
      <c r="I113" s="11"/>
      <c r="J113" s="12"/>
      <c r="K113" s="12">
        <f t="shared" si="22"/>
        <v>0</v>
      </c>
      <c r="L113" s="13" t="e">
        <f t="shared" si="13"/>
        <v>#REF!</v>
      </c>
      <c r="M113" s="13" t="e">
        <f t="shared" si="17"/>
        <v>#REF!</v>
      </c>
      <c r="N113" s="23"/>
      <c r="O113" s="15"/>
      <c r="P113" s="15"/>
      <c r="Q113" s="15"/>
      <c r="R113" s="15"/>
      <c r="S113" s="15"/>
      <c r="T113" s="15"/>
      <c r="U113" s="15"/>
      <c r="V113" s="15"/>
      <c r="W113" s="16"/>
      <c r="X113" s="16"/>
      <c r="Y113" s="16"/>
      <c r="Z113" s="16"/>
      <c r="AA113" s="16"/>
      <c r="AB113" s="15"/>
      <c r="AD113" s="15" t="e">
        <f t="shared" si="18"/>
        <v>#REF!</v>
      </c>
      <c r="AE113" s="19"/>
      <c r="AF113" s="18" t="e">
        <f t="shared" si="19"/>
        <v>#REF!</v>
      </c>
      <c r="AG113" s="17" t="e">
        <f t="shared" si="20"/>
        <v>#REF!</v>
      </c>
      <c r="AH113" s="17" t="e">
        <f t="shared" si="21"/>
        <v>#REF!</v>
      </c>
    </row>
    <row r="114" spans="1:34" ht="33.75">
      <c r="A114" s="8" t="s">
        <v>130</v>
      </c>
      <c r="B114" s="11">
        <f>364893+344647</f>
        <v>709540</v>
      </c>
      <c r="C114" s="11">
        <v>845974</v>
      </c>
      <c r="D114" s="9">
        <f t="shared" si="15"/>
        <v>842990.58</v>
      </c>
      <c r="E114" s="11" t="e">
        <f>#REF!</f>
        <v>#REF!</v>
      </c>
      <c r="F114" s="11" t="e">
        <f t="shared" si="16"/>
        <v>#REF!</v>
      </c>
      <c r="G114" s="22"/>
      <c r="H114" s="11"/>
      <c r="I114" s="11"/>
      <c r="J114" s="12"/>
      <c r="K114" s="12">
        <f t="shared" si="22"/>
        <v>0</v>
      </c>
      <c r="L114" s="13" t="e">
        <f t="shared" si="13"/>
        <v>#REF!</v>
      </c>
      <c r="M114" s="13" t="e">
        <f t="shared" si="17"/>
        <v>#REF!</v>
      </c>
      <c r="N114" s="23"/>
      <c r="O114" s="15"/>
      <c r="P114" s="15"/>
      <c r="Q114" s="15"/>
      <c r="R114" s="15"/>
      <c r="S114" s="15"/>
      <c r="T114" s="15"/>
      <c r="U114" s="15"/>
      <c r="V114" s="15"/>
      <c r="W114" s="16"/>
      <c r="X114" s="16"/>
      <c r="Y114" s="16"/>
      <c r="Z114" s="16"/>
      <c r="AA114" s="16"/>
      <c r="AB114" s="15">
        <f t="shared" si="14"/>
        <v>0</v>
      </c>
      <c r="AC114" s="5">
        <f aca="true" t="shared" si="24" ref="AC114:AC133">K114-AB114</f>
        <v>0</v>
      </c>
      <c r="AD114" s="15" t="e">
        <f t="shared" si="18"/>
        <v>#REF!</v>
      </c>
      <c r="AE114" s="19">
        <v>167599</v>
      </c>
      <c r="AF114" s="18" t="e">
        <f t="shared" si="19"/>
        <v>#REF!</v>
      </c>
      <c r="AG114" s="17" t="e">
        <f t="shared" si="20"/>
        <v>#REF!</v>
      </c>
      <c r="AH114" s="17" t="e">
        <f t="shared" si="21"/>
        <v>#REF!</v>
      </c>
    </row>
    <row r="115" spans="1:34" ht="33.75">
      <c r="A115" s="8" t="s">
        <v>131</v>
      </c>
      <c r="B115" s="11">
        <f>1023666+303573</f>
        <v>1327239</v>
      </c>
      <c r="C115" s="11">
        <v>1578550</v>
      </c>
      <c r="D115" s="9">
        <f t="shared" si="15"/>
        <v>1574810.81</v>
      </c>
      <c r="E115" s="11" t="e">
        <f>#REF!</f>
        <v>#REF!</v>
      </c>
      <c r="F115" s="11" t="e">
        <f t="shared" si="16"/>
        <v>#REF!</v>
      </c>
      <c r="G115" s="22"/>
      <c r="H115" s="11"/>
      <c r="I115" s="11"/>
      <c r="J115" s="12"/>
      <c r="K115" s="12">
        <f t="shared" si="22"/>
        <v>0</v>
      </c>
      <c r="L115" s="13" t="e">
        <f t="shared" si="13"/>
        <v>#REF!</v>
      </c>
      <c r="M115" s="13" t="e">
        <f t="shared" si="17"/>
        <v>#REF!</v>
      </c>
      <c r="N115" s="23"/>
      <c r="O115" s="15"/>
      <c r="P115" s="15"/>
      <c r="Q115" s="15"/>
      <c r="R115" s="15"/>
      <c r="S115" s="15"/>
      <c r="T115" s="15"/>
      <c r="U115" s="15"/>
      <c r="V115" s="15"/>
      <c r="W115" s="16"/>
      <c r="X115" s="16"/>
      <c r="Y115" s="16"/>
      <c r="Z115" s="16"/>
      <c r="AA115" s="16"/>
      <c r="AB115" s="15">
        <f t="shared" si="14"/>
        <v>0</v>
      </c>
      <c r="AC115" s="5">
        <f t="shared" si="24"/>
        <v>0</v>
      </c>
      <c r="AD115" s="15" t="e">
        <f t="shared" si="18"/>
        <v>#REF!</v>
      </c>
      <c r="AE115" s="19"/>
      <c r="AF115" s="18" t="e">
        <f t="shared" si="19"/>
        <v>#REF!</v>
      </c>
      <c r="AG115" s="17" t="e">
        <f t="shared" si="20"/>
        <v>#REF!</v>
      </c>
      <c r="AH115" s="17" t="e">
        <f t="shared" si="21"/>
        <v>#REF!</v>
      </c>
    </row>
    <row r="116" spans="1:34" ht="33.75">
      <c r="A116" s="8" t="s">
        <v>132</v>
      </c>
      <c r="B116" s="11">
        <v>606494</v>
      </c>
      <c r="C116" s="11">
        <v>745301</v>
      </c>
      <c r="D116" s="9">
        <f t="shared" si="15"/>
        <v>732267.4</v>
      </c>
      <c r="E116" s="11" t="e">
        <f>#REF!</f>
        <v>#REF!</v>
      </c>
      <c r="F116" s="11" t="e">
        <f t="shared" si="16"/>
        <v>#REF!</v>
      </c>
      <c r="G116" s="22"/>
      <c r="H116" s="11"/>
      <c r="I116" s="11"/>
      <c r="J116" s="12"/>
      <c r="K116" s="12">
        <f t="shared" si="22"/>
        <v>0</v>
      </c>
      <c r="L116" s="13" t="e">
        <f t="shared" si="13"/>
        <v>#REF!</v>
      </c>
      <c r="M116" s="13" t="e">
        <f t="shared" si="17"/>
        <v>#REF!</v>
      </c>
      <c r="N116" s="23"/>
      <c r="O116" s="15"/>
      <c r="P116" s="15"/>
      <c r="Q116" s="15"/>
      <c r="R116" s="15"/>
      <c r="S116" s="15"/>
      <c r="T116" s="15"/>
      <c r="U116" s="15"/>
      <c r="V116" s="15"/>
      <c r="W116" s="16"/>
      <c r="X116" s="16"/>
      <c r="Y116" s="16"/>
      <c r="Z116" s="16"/>
      <c r="AA116" s="16"/>
      <c r="AB116" s="15">
        <f t="shared" si="14"/>
        <v>0</v>
      </c>
      <c r="AC116" s="5">
        <f t="shared" si="24"/>
        <v>0</v>
      </c>
      <c r="AD116" s="15" t="e">
        <f t="shared" si="18"/>
        <v>#REF!</v>
      </c>
      <c r="AE116" s="19"/>
      <c r="AF116" s="18" t="e">
        <f t="shared" si="19"/>
        <v>#REF!</v>
      </c>
      <c r="AG116" s="17" t="e">
        <f t="shared" si="20"/>
        <v>#REF!</v>
      </c>
      <c r="AH116" s="17" t="e">
        <f t="shared" si="21"/>
        <v>#REF!</v>
      </c>
    </row>
    <row r="117" spans="1:34" ht="33.75">
      <c r="A117" s="8" t="s">
        <v>133</v>
      </c>
      <c r="B117" s="11">
        <v>323861</v>
      </c>
      <c r="C117" s="11">
        <v>596002</v>
      </c>
      <c r="D117" s="9">
        <f t="shared" si="15"/>
        <v>495477.93</v>
      </c>
      <c r="E117" s="11" t="e">
        <f>#REF!</f>
        <v>#REF!</v>
      </c>
      <c r="F117" s="11" t="e">
        <f t="shared" si="16"/>
        <v>#REF!</v>
      </c>
      <c r="G117" s="22"/>
      <c r="H117" s="11"/>
      <c r="I117" s="11"/>
      <c r="J117" s="12"/>
      <c r="K117" s="12">
        <f t="shared" si="22"/>
        <v>0</v>
      </c>
      <c r="L117" s="13" t="e">
        <f t="shared" si="13"/>
        <v>#REF!</v>
      </c>
      <c r="M117" s="13" t="e">
        <f t="shared" si="17"/>
        <v>#REF!</v>
      </c>
      <c r="N117" s="23"/>
      <c r="O117" s="15"/>
      <c r="P117" s="15"/>
      <c r="Q117" s="15"/>
      <c r="R117" s="15"/>
      <c r="S117" s="15"/>
      <c r="T117" s="15"/>
      <c r="U117" s="15"/>
      <c r="V117" s="15"/>
      <c r="W117" s="16"/>
      <c r="X117" s="16"/>
      <c r="Y117" s="16"/>
      <c r="Z117" s="16"/>
      <c r="AA117" s="16"/>
      <c r="AB117" s="15">
        <f t="shared" si="14"/>
        <v>0</v>
      </c>
      <c r="AC117" s="5">
        <f t="shared" si="24"/>
        <v>0</v>
      </c>
      <c r="AD117" s="15" t="e">
        <f t="shared" si="18"/>
        <v>#REF!</v>
      </c>
      <c r="AE117" s="19"/>
      <c r="AF117" s="18" t="e">
        <f t="shared" si="19"/>
        <v>#REF!</v>
      </c>
      <c r="AG117" s="17" t="e">
        <f t="shared" si="20"/>
        <v>#REF!</v>
      </c>
      <c r="AH117" s="17" t="e">
        <f t="shared" si="21"/>
        <v>#REF!</v>
      </c>
    </row>
    <row r="118" spans="1:34" ht="45">
      <c r="A118" s="8" t="s">
        <v>134</v>
      </c>
      <c r="B118" s="11">
        <v>28921</v>
      </c>
      <c r="C118" s="11">
        <v>19660</v>
      </c>
      <c r="D118" s="9">
        <f t="shared" si="15"/>
        <v>26541.83</v>
      </c>
      <c r="E118" s="11"/>
      <c r="F118" s="11">
        <f t="shared" si="16"/>
        <v>0</v>
      </c>
      <c r="G118" s="11"/>
      <c r="H118" s="54">
        <v>21188</v>
      </c>
      <c r="I118" s="11"/>
      <c r="J118" s="12"/>
      <c r="K118" s="12">
        <f t="shared" si="22"/>
        <v>0</v>
      </c>
      <c r="L118" s="53">
        <f t="shared" si="13"/>
        <v>21188</v>
      </c>
      <c r="M118" s="13">
        <f t="shared" si="17"/>
        <v>22353</v>
      </c>
      <c r="N118" s="23"/>
      <c r="O118" s="15"/>
      <c r="P118" s="15"/>
      <c r="Q118" s="15"/>
      <c r="R118" s="15"/>
      <c r="S118" s="15"/>
      <c r="T118" s="15"/>
      <c r="U118" s="15"/>
      <c r="V118" s="15"/>
      <c r="W118" s="16"/>
      <c r="X118" s="16"/>
      <c r="Y118" s="16"/>
      <c r="Z118" s="16"/>
      <c r="AA118" s="16"/>
      <c r="AB118" s="15">
        <f t="shared" si="14"/>
        <v>0</v>
      </c>
      <c r="AC118" s="5">
        <f t="shared" si="24"/>
        <v>0</v>
      </c>
      <c r="AD118" s="15">
        <f t="shared" si="18"/>
        <v>4188.830000000002</v>
      </c>
      <c r="AE118" s="19"/>
      <c r="AF118" s="18">
        <f t="shared" si="19"/>
        <v>22353</v>
      </c>
      <c r="AG118" s="17">
        <f t="shared" si="20"/>
        <v>23471</v>
      </c>
      <c r="AH118" s="17">
        <f t="shared" si="21"/>
        <v>24645</v>
      </c>
    </row>
    <row r="119" spans="1:34" ht="33.75">
      <c r="A119" s="8" t="s">
        <v>135</v>
      </c>
      <c r="B119" s="11"/>
      <c r="C119" s="11"/>
      <c r="D119" s="9">
        <f t="shared" si="15"/>
        <v>0</v>
      </c>
      <c r="E119" s="10"/>
      <c r="F119" s="11">
        <f t="shared" si="16"/>
        <v>0</v>
      </c>
      <c r="G119" s="11"/>
      <c r="H119" s="11"/>
      <c r="I119" s="11"/>
      <c r="J119" s="12"/>
      <c r="K119" s="12">
        <f t="shared" si="22"/>
        <v>0</v>
      </c>
      <c r="L119" s="13">
        <f t="shared" si="13"/>
        <v>0</v>
      </c>
      <c r="M119" s="13">
        <f t="shared" si="17"/>
        <v>0</v>
      </c>
      <c r="N119" s="23"/>
      <c r="O119" s="15"/>
      <c r="P119" s="15"/>
      <c r="Q119" s="15"/>
      <c r="R119" s="15"/>
      <c r="S119" s="15"/>
      <c r="T119" s="15"/>
      <c r="U119" s="15"/>
      <c r="V119" s="15"/>
      <c r="W119" s="16"/>
      <c r="X119" s="16"/>
      <c r="Y119" s="16"/>
      <c r="Z119" s="16"/>
      <c r="AA119" s="16"/>
      <c r="AB119" s="15">
        <f t="shared" si="14"/>
        <v>0</v>
      </c>
      <c r="AC119" s="5">
        <f t="shared" si="24"/>
        <v>0</v>
      </c>
      <c r="AD119" s="15">
        <f t="shared" si="18"/>
        <v>0</v>
      </c>
      <c r="AE119" s="19"/>
      <c r="AF119" s="18">
        <f t="shared" si="19"/>
        <v>0</v>
      </c>
      <c r="AG119" s="17">
        <f t="shared" si="20"/>
        <v>0</v>
      </c>
      <c r="AH119" s="17">
        <f t="shared" si="21"/>
        <v>0</v>
      </c>
    </row>
    <row r="120" spans="1:34" ht="45">
      <c r="A120" s="8" t="s">
        <v>136</v>
      </c>
      <c r="B120" s="11">
        <v>10478</v>
      </c>
      <c r="C120" s="11">
        <v>148311</v>
      </c>
      <c r="D120" s="9">
        <f t="shared" si="15"/>
        <v>84092.83</v>
      </c>
      <c r="E120" s="10"/>
      <c r="F120" s="11">
        <f t="shared" si="16"/>
        <v>0</v>
      </c>
      <c r="G120" s="54">
        <f>73224+2181</f>
        <v>75405</v>
      </c>
      <c r="H120" s="54">
        <f>2700+6200+19900+1150+5450</f>
        <v>35400</v>
      </c>
      <c r="I120" s="11"/>
      <c r="J120" s="12"/>
      <c r="K120" s="12">
        <f t="shared" si="22"/>
        <v>0</v>
      </c>
      <c r="L120" s="53">
        <f t="shared" si="13"/>
        <v>110805</v>
      </c>
      <c r="M120" s="13">
        <f t="shared" si="17"/>
        <v>116899</v>
      </c>
      <c r="N120" s="23"/>
      <c r="O120" s="15"/>
      <c r="P120" s="15"/>
      <c r="Q120" s="15"/>
      <c r="R120" s="15"/>
      <c r="S120" s="15"/>
      <c r="T120" s="15"/>
      <c r="U120" s="15"/>
      <c r="V120" s="15"/>
      <c r="W120" s="16"/>
      <c r="X120" s="16"/>
      <c r="Y120" s="16"/>
      <c r="Z120" s="16"/>
      <c r="AA120" s="16"/>
      <c r="AB120" s="15">
        <f t="shared" si="14"/>
        <v>0</v>
      </c>
      <c r="AC120" s="5">
        <f t="shared" si="24"/>
        <v>0</v>
      </c>
      <c r="AD120" s="15">
        <f t="shared" si="18"/>
        <v>-32806.17</v>
      </c>
      <c r="AE120" s="19"/>
      <c r="AF120" s="18">
        <f t="shared" si="19"/>
        <v>116899</v>
      </c>
      <c r="AG120" s="17">
        <f t="shared" si="20"/>
        <v>122744</v>
      </c>
      <c r="AH120" s="17">
        <f t="shared" si="21"/>
        <v>128881</v>
      </c>
    </row>
    <row r="121" spans="1:34" ht="33.75">
      <c r="A121" s="8" t="s">
        <v>137</v>
      </c>
      <c r="B121" s="11"/>
      <c r="C121" s="11"/>
      <c r="D121" s="9">
        <f t="shared" si="15"/>
        <v>0</v>
      </c>
      <c r="E121" s="11"/>
      <c r="F121" s="11">
        <f t="shared" si="16"/>
        <v>0</v>
      </c>
      <c r="G121" s="11"/>
      <c r="H121" s="11"/>
      <c r="I121" s="11"/>
      <c r="J121" s="12"/>
      <c r="K121" s="12">
        <f t="shared" si="22"/>
        <v>0</v>
      </c>
      <c r="L121" s="13">
        <f t="shared" si="13"/>
        <v>0</v>
      </c>
      <c r="M121" s="13">
        <f t="shared" si="17"/>
        <v>0</v>
      </c>
      <c r="N121" s="23"/>
      <c r="O121" s="15"/>
      <c r="P121" s="15"/>
      <c r="Q121" s="15"/>
      <c r="R121" s="15"/>
      <c r="S121" s="15"/>
      <c r="T121" s="15"/>
      <c r="U121" s="15"/>
      <c r="V121" s="15"/>
      <c r="W121" s="16"/>
      <c r="X121" s="16"/>
      <c r="Y121" s="16"/>
      <c r="Z121" s="16"/>
      <c r="AA121" s="16"/>
      <c r="AB121" s="15">
        <f t="shared" si="14"/>
        <v>0</v>
      </c>
      <c r="AC121" s="5">
        <f t="shared" si="24"/>
        <v>0</v>
      </c>
      <c r="AD121" s="15">
        <f t="shared" si="18"/>
        <v>0</v>
      </c>
      <c r="AE121" s="19"/>
      <c r="AF121" s="18">
        <f t="shared" si="19"/>
        <v>0</v>
      </c>
      <c r="AG121" s="17">
        <f t="shared" si="20"/>
        <v>0</v>
      </c>
      <c r="AH121" s="17">
        <f t="shared" si="21"/>
        <v>0</v>
      </c>
    </row>
    <row r="122" spans="1:34" ht="33.75">
      <c r="A122" s="8" t="s">
        <v>138</v>
      </c>
      <c r="B122" s="11">
        <v>69565</v>
      </c>
      <c r="C122" s="11">
        <v>84565</v>
      </c>
      <c r="D122" s="9">
        <f t="shared" si="15"/>
        <v>83505.31</v>
      </c>
      <c r="E122" s="11"/>
      <c r="F122" s="11">
        <f t="shared" si="16"/>
        <v>0</v>
      </c>
      <c r="G122" s="11">
        <v>103056</v>
      </c>
      <c r="H122" s="11"/>
      <c r="I122" s="11"/>
      <c r="J122" s="12"/>
      <c r="K122" s="12">
        <f t="shared" si="22"/>
        <v>0</v>
      </c>
      <c r="L122" s="53">
        <f t="shared" si="13"/>
        <v>103056</v>
      </c>
      <c r="M122" s="13">
        <f t="shared" si="17"/>
        <v>108724</v>
      </c>
      <c r="N122" s="23"/>
      <c r="O122" s="15"/>
      <c r="P122" s="15"/>
      <c r="Q122" s="15"/>
      <c r="R122" s="15"/>
      <c r="S122" s="15"/>
      <c r="T122" s="15"/>
      <c r="U122" s="15"/>
      <c r="V122" s="15"/>
      <c r="W122" s="16"/>
      <c r="X122" s="16"/>
      <c r="Y122" s="16"/>
      <c r="Z122" s="16"/>
      <c r="AA122" s="16"/>
      <c r="AB122" s="15">
        <f t="shared" si="14"/>
        <v>0</v>
      </c>
      <c r="AC122" s="5">
        <f t="shared" si="24"/>
        <v>0</v>
      </c>
      <c r="AD122" s="15">
        <f t="shared" si="18"/>
        <v>-25218.690000000002</v>
      </c>
      <c r="AE122" s="19"/>
      <c r="AF122" s="18">
        <f t="shared" si="19"/>
        <v>108724</v>
      </c>
      <c r="AG122" s="17">
        <f t="shared" si="20"/>
        <v>114160</v>
      </c>
      <c r="AH122" s="17">
        <f t="shared" si="21"/>
        <v>119868</v>
      </c>
    </row>
    <row r="123" spans="1:34" ht="33.75">
      <c r="A123" s="8" t="s">
        <v>139</v>
      </c>
      <c r="B123" s="28">
        <v>79553</v>
      </c>
      <c r="C123" s="11">
        <v>74064</v>
      </c>
      <c r="D123" s="9">
        <f t="shared" si="15"/>
        <v>83550.82</v>
      </c>
      <c r="E123" s="11"/>
      <c r="F123" s="11">
        <f t="shared" si="16"/>
        <v>0</v>
      </c>
      <c r="G123" s="54">
        <v>76749.6</v>
      </c>
      <c r="H123" s="54">
        <v>20850</v>
      </c>
      <c r="I123" s="54"/>
      <c r="J123" s="55"/>
      <c r="K123" s="55">
        <f t="shared" si="22"/>
        <v>25051.63</v>
      </c>
      <c r="L123" s="53">
        <f t="shared" si="13"/>
        <v>122651.23000000001</v>
      </c>
      <c r="M123" s="13">
        <f t="shared" si="17"/>
        <v>129397</v>
      </c>
      <c r="N123" s="23"/>
      <c r="O123" s="15">
        <v>25051.63</v>
      </c>
      <c r="P123" s="15"/>
      <c r="Q123" s="15"/>
      <c r="R123" s="15"/>
      <c r="S123" s="15"/>
      <c r="T123" s="15"/>
      <c r="U123" s="15"/>
      <c r="V123" s="15"/>
      <c r="W123" s="16"/>
      <c r="X123" s="16"/>
      <c r="Y123" s="16"/>
      <c r="Z123" s="16"/>
      <c r="AA123" s="16"/>
      <c r="AB123" s="15">
        <f t="shared" si="14"/>
        <v>25051.63</v>
      </c>
      <c r="AC123" s="5">
        <f t="shared" si="24"/>
        <v>0</v>
      </c>
      <c r="AD123" s="15">
        <f t="shared" si="18"/>
        <v>-45846.17999999999</v>
      </c>
      <c r="AE123" s="19"/>
      <c r="AF123" s="18">
        <f t="shared" si="19"/>
        <v>129397</v>
      </c>
      <c r="AG123" s="17">
        <f t="shared" si="20"/>
        <v>135867</v>
      </c>
      <c r="AH123" s="17">
        <f t="shared" si="21"/>
        <v>142660</v>
      </c>
    </row>
    <row r="124" spans="1:34" ht="45">
      <c r="A124" s="8" t="s">
        <v>140</v>
      </c>
      <c r="B124" s="11"/>
      <c r="C124" s="11"/>
      <c r="D124" s="9">
        <f t="shared" si="15"/>
        <v>0</v>
      </c>
      <c r="E124" s="11"/>
      <c r="F124" s="11">
        <f t="shared" si="16"/>
        <v>0</v>
      </c>
      <c r="G124" s="11"/>
      <c r="H124" s="11"/>
      <c r="I124" s="11"/>
      <c r="J124" s="12"/>
      <c r="K124" s="12">
        <f t="shared" si="22"/>
        <v>0</v>
      </c>
      <c r="L124" s="13">
        <f t="shared" si="13"/>
        <v>0</v>
      </c>
      <c r="M124" s="13">
        <f t="shared" si="17"/>
        <v>0</v>
      </c>
      <c r="N124" s="23"/>
      <c r="O124" s="15"/>
      <c r="P124" s="15"/>
      <c r="Q124" s="15"/>
      <c r="R124" s="15"/>
      <c r="S124" s="15"/>
      <c r="T124" s="15"/>
      <c r="U124" s="15"/>
      <c r="V124" s="15"/>
      <c r="W124" s="16"/>
      <c r="X124" s="16"/>
      <c r="Y124" s="16"/>
      <c r="Z124" s="16"/>
      <c r="AA124" s="16"/>
      <c r="AB124" s="15">
        <f t="shared" si="14"/>
        <v>0</v>
      </c>
      <c r="AC124" s="5">
        <f t="shared" si="24"/>
        <v>0</v>
      </c>
      <c r="AD124" s="15">
        <f t="shared" si="18"/>
        <v>0</v>
      </c>
      <c r="AE124" s="19"/>
      <c r="AF124" s="18">
        <f t="shared" si="19"/>
        <v>0</v>
      </c>
      <c r="AG124" s="17">
        <f t="shared" si="20"/>
        <v>0</v>
      </c>
      <c r="AH124" s="17">
        <f t="shared" si="21"/>
        <v>0</v>
      </c>
    </row>
    <row r="125" spans="1:34" ht="45">
      <c r="A125" s="8" t="s">
        <v>141</v>
      </c>
      <c r="B125" s="11"/>
      <c r="C125" s="11"/>
      <c r="D125" s="9">
        <f t="shared" si="15"/>
        <v>0</v>
      </c>
      <c r="E125" s="10"/>
      <c r="F125" s="11">
        <f t="shared" si="16"/>
        <v>0</v>
      </c>
      <c r="G125" s="11"/>
      <c r="H125" s="11"/>
      <c r="I125" s="11"/>
      <c r="J125" s="12"/>
      <c r="K125" s="55">
        <f t="shared" si="22"/>
        <v>25000</v>
      </c>
      <c r="L125" s="13">
        <f t="shared" si="13"/>
        <v>25000</v>
      </c>
      <c r="M125" s="13">
        <f t="shared" si="17"/>
        <v>26375</v>
      </c>
      <c r="N125" s="23"/>
      <c r="O125" s="15"/>
      <c r="P125" s="15"/>
      <c r="Q125" s="15"/>
      <c r="R125" s="15"/>
      <c r="S125" s="15"/>
      <c r="T125" s="15"/>
      <c r="U125" s="15"/>
      <c r="V125" s="15"/>
      <c r="W125" s="16"/>
      <c r="X125" s="16"/>
      <c r="Y125" s="16"/>
      <c r="Z125" s="16"/>
      <c r="AA125" s="16">
        <v>25000</v>
      </c>
      <c r="AB125" s="15">
        <f t="shared" si="14"/>
        <v>25000</v>
      </c>
      <c r="AC125" s="5">
        <f t="shared" si="24"/>
        <v>0</v>
      </c>
      <c r="AD125" s="15">
        <f t="shared" si="18"/>
        <v>-26375</v>
      </c>
      <c r="AE125" s="19"/>
      <c r="AF125" s="18">
        <f t="shared" si="19"/>
        <v>26375</v>
      </c>
      <c r="AG125" s="17">
        <f t="shared" si="20"/>
        <v>27694</v>
      </c>
      <c r="AH125" s="17">
        <f t="shared" si="21"/>
        <v>29079</v>
      </c>
    </row>
    <row r="126" spans="1:34" ht="33.75">
      <c r="A126" s="8" t="s">
        <v>142</v>
      </c>
      <c r="B126" s="11">
        <v>34472.14</v>
      </c>
      <c r="C126" s="11">
        <v>4300</v>
      </c>
      <c r="D126" s="9">
        <f t="shared" si="15"/>
        <v>21543.35</v>
      </c>
      <c r="E126" s="11"/>
      <c r="F126" s="11">
        <f t="shared" si="16"/>
        <v>0</v>
      </c>
      <c r="G126" s="11"/>
      <c r="H126" s="11"/>
      <c r="I126" s="11"/>
      <c r="J126" s="12"/>
      <c r="K126" s="55">
        <f t="shared" si="22"/>
        <v>17281</v>
      </c>
      <c r="L126" s="13">
        <f t="shared" si="13"/>
        <v>17281</v>
      </c>
      <c r="M126" s="13">
        <f t="shared" si="17"/>
        <v>18231</v>
      </c>
      <c r="N126" s="23"/>
      <c r="O126" s="15">
        <v>4300</v>
      </c>
      <c r="P126" s="15"/>
      <c r="Q126" s="15"/>
      <c r="R126" s="15"/>
      <c r="S126" s="15"/>
      <c r="T126" s="15"/>
      <c r="U126" s="15"/>
      <c r="V126" s="15">
        <v>12981</v>
      </c>
      <c r="W126" s="16"/>
      <c r="X126" s="16"/>
      <c r="Y126" s="16"/>
      <c r="Z126" s="16"/>
      <c r="AA126" s="16"/>
      <c r="AB126" s="15">
        <f t="shared" si="14"/>
        <v>17281</v>
      </c>
      <c r="AC126" s="5">
        <f t="shared" si="24"/>
        <v>0</v>
      </c>
      <c r="AD126" s="15">
        <f t="shared" si="18"/>
        <v>3312.3499999999985</v>
      </c>
      <c r="AE126" s="19"/>
      <c r="AF126" s="18">
        <f t="shared" si="19"/>
        <v>18231</v>
      </c>
      <c r="AG126" s="17">
        <f t="shared" si="20"/>
        <v>19143</v>
      </c>
      <c r="AH126" s="17">
        <f t="shared" si="21"/>
        <v>20100</v>
      </c>
    </row>
    <row r="127" spans="1:34" ht="33.75">
      <c r="A127" s="8" t="s">
        <v>143</v>
      </c>
      <c r="B127" s="11">
        <v>34790</v>
      </c>
      <c r="C127" s="11">
        <v>18727</v>
      </c>
      <c r="D127" s="9">
        <f t="shared" si="15"/>
        <v>29331.32</v>
      </c>
      <c r="E127" s="11"/>
      <c r="F127" s="11">
        <f t="shared" si="16"/>
        <v>0</v>
      </c>
      <c r="G127" s="54">
        <v>30916.8</v>
      </c>
      <c r="H127" s="54">
        <v>35285</v>
      </c>
      <c r="I127" s="54"/>
      <c r="J127" s="55"/>
      <c r="K127" s="55">
        <f t="shared" si="22"/>
        <v>9321.4</v>
      </c>
      <c r="L127" s="13">
        <f t="shared" si="13"/>
        <v>75523.2</v>
      </c>
      <c r="M127" s="13">
        <f t="shared" si="17"/>
        <v>79677</v>
      </c>
      <c r="N127" s="23"/>
      <c r="O127" s="15">
        <v>3051.4</v>
      </c>
      <c r="P127" s="15">
        <v>6270</v>
      </c>
      <c r="Q127" s="15"/>
      <c r="R127" s="15"/>
      <c r="S127" s="15"/>
      <c r="T127" s="15"/>
      <c r="U127" s="15"/>
      <c r="V127" s="15"/>
      <c r="W127" s="16"/>
      <c r="X127" s="16"/>
      <c r="Y127" s="16"/>
      <c r="Z127" s="16"/>
      <c r="AA127" s="16"/>
      <c r="AB127" s="15">
        <f t="shared" si="14"/>
        <v>9321.4</v>
      </c>
      <c r="AC127" s="5">
        <f t="shared" si="24"/>
        <v>0</v>
      </c>
      <c r="AD127" s="15">
        <f t="shared" si="18"/>
        <v>-50345.68</v>
      </c>
      <c r="AE127" s="19"/>
      <c r="AF127" s="18">
        <f t="shared" si="19"/>
        <v>79677</v>
      </c>
      <c r="AG127" s="17">
        <f t="shared" si="20"/>
        <v>83661</v>
      </c>
      <c r="AH127" s="17">
        <f t="shared" si="21"/>
        <v>87844</v>
      </c>
    </row>
    <row r="128" spans="1:34" ht="33.75">
      <c r="A128" s="8" t="s">
        <v>144</v>
      </c>
      <c r="B128" s="11">
        <v>27028</v>
      </c>
      <c r="C128" s="11">
        <v>42966</v>
      </c>
      <c r="D128" s="9">
        <f t="shared" si="15"/>
        <v>37777.27</v>
      </c>
      <c r="E128" s="11"/>
      <c r="F128" s="11">
        <f t="shared" si="16"/>
        <v>0</v>
      </c>
      <c r="G128" s="54">
        <f>31350</f>
        <v>31350</v>
      </c>
      <c r="H128" s="54">
        <f>26181+11300</f>
        <v>37481</v>
      </c>
      <c r="I128" s="54"/>
      <c r="J128" s="55"/>
      <c r="K128" s="55">
        <f t="shared" si="22"/>
        <v>39146.72</v>
      </c>
      <c r="L128" s="13">
        <f t="shared" si="13"/>
        <v>107977.72</v>
      </c>
      <c r="M128" s="13">
        <f t="shared" si="17"/>
        <v>113916</v>
      </c>
      <c r="N128" s="23"/>
      <c r="O128" s="15">
        <v>14457</v>
      </c>
      <c r="P128" s="15">
        <f>10807.26+7383</f>
        <v>18190.260000000002</v>
      </c>
      <c r="Q128" s="15"/>
      <c r="R128" s="15"/>
      <c r="S128" s="15"/>
      <c r="T128" s="15"/>
      <c r="U128" s="15">
        <v>6499.46</v>
      </c>
      <c r="V128" s="15"/>
      <c r="W128" s="16"/>
      <c r="X128" s="16"/>
      <c r="Y128" s="16"/>
      <c r="Z128" s="16"/>
      <c r="AA128" s="16"/>
      <c r="AB128" s="15">
        <f t="shared" si="14"/>
        <v>39146.72</v>
      </c>
      <c r="AC128" s="5">
        <f t="shared" si="24"/>
        <v>0</v>
      </c>
      <c r="AD128" s="15">
        <f t="shared" si="18"/>
        <v>-76138.73000000001</v>
      </c>
      <c r="AE128" s="19"/>
      <c r="AF128" s="18">
        <f t="shared" si="19"/>
        <v>113916</v>
      </c>
      <c r="AG128" s="17">
        <f t="shared" si="20"/>
        <v>119612</v>
      </c>
      <c r="AH128" s="17">
        <f t="shared" si="21"/>
        <v>125593</v>
      </c>
    </row>
    <row r="129" spans="1:34" ht="33.75">
      <c r="A129" s="8" t="s">
        <v>145</v>
      </c>
      <c r="B129" s="11">
        <v>6000</v>
      </c>
      <c r="C129" s="11">
        <v>145669</v>
      </c>
      <c r="D129" s="9">
        <f t="shared" si="15"/>
        <v>80195.3</v>
      </c>
      <c r="E129" s="11"/>
      <c r="F129" s="11">
        <f t="shared" si="16"/>
        <v>0</v>
      </c>
      <c r="G129" s="54">
        <v>122040</v>
      </c>
      <c r="H129" s="54">
        <v>10247</v>
      </c>
      <c r="I129" s="11"/>
      <c r="J129" s="12"/>
      <c r="K129" s="12">
        <f t="shared" si="22"/>
        <v>0</v>
      </c>
      <c r="L129" s="13">
        <f t="shared" si="13"/>
        <v>132287</v>
      </c>
      <c r="M129" s="13">
        <f t="shared" si="17"/>
        <v>139563</v>
      </c>
      <c r="N129" s="23"/>
      <c r="O129" s="15"/>
      <c r="P129" s="15"/>
      <c r="Q129" s="15"/>
      <c r="R129" s="15"/>
      <c r="S129" s="15"/>
      <c r="T129" s="15"/>
      <c r="U129" s="15"/>
      <c r="V129" s="15"/>
      <c r="W129" s="16"/>
      <c r="X129" s="16"/>
      <c r="Y129" s="16"/>
      <c r="Z129" s="16"/>
      <c r="AA129" s="16"/>
      <c r="AB129" s="15">
        <f t="shared" si="14"/>
        <v>0</v>
      </c>
      <c r="AC129" s="5">
        <f t="shared" si="24"/>
        <v>0</v>
      </c>
      <c r="AD129" s="15">
        <f t="shared" si="18"/>
        <v>-59367.7</v>
      </c>
      <c r="AE129" s="19"/>
      <c r="AF129" s="18">
        <f t="shared" si="19"/>
        <v>139563</v>
      </c>
      <c r="AG129" s="17">
        <f t="shared" si="20"/>
        <v>146541</v>
      </c>
      <c r="AH129" s="17">
        <f t="shared" si="21"/>
        <v>153868</v>
      </c>
    </row>
    <row r="130" spans="1:34" ht="45">
      <c r="A130" s="8" t="s">
        <v>149</v>
      </c>
      <c r="B130" s="11">
        <v>1166110.64</v>
      </c>
      <c r="C130" s="11">
        <v>1437408.52</v>
      </c>
      <c r="D130" s="9">
        <f t="shared" si="15"/>
        <v>1410263.76</v>
      </c>
      <c r="E130" s="11">
        <v>1126199.34</v>
      </c>
      <c r="F130" s="11">
        <f>ROUND(E130*1.055,2)+0.01</f>
        <v>1188140.31</v>
      </c>
      <c r="G130" s="11"/>
      <c r="H130" s="11"/>
      <c r="I130" s="11"/>
      <c r="J130" s="12"/>
      <c r="K130" s="12">
        <f t="shared" si="22"/>
        <v>330862.27</v>
      </c>
      <c r="L130" s="13">
        <f>E130+G130+H130+I130+J130+K130</f>
        <v>1457061.61</v>
      </c>
      <c r="M130" s="13">
        <f t="shared" si="17"/>
        <v>1537200</v>
      </c>
      <c r="N130" s="23"/>
      <c r="O130" s="15"/>
      <c r="P130" s="15"/>
      <c r="Q130" s="15"/>
      <c r="R130" s="15"/>
      <c r="S130" s="15"/>
      <c r="T130" s="15"/>
      <c r="U130" s="15"/>
      <c r="V130" s="15"/>
      <c r="W130" s="16"/>
      <c r="X130" s="16">
        <v>30862.27</v>
      </c>
      <c r="Y130" s="16"/>
      <c r="Z130" s="16">
        <v>300000</v>
      </c>
      <c r="AA130" s="16"/>
      <c r="AB130" s="15">
        <f>AA130+V130+U130+T130+S130+R130+Q130+P130+O130+N130+W130+X130+Y130+Z130</f>
        <v>330862.27</v>
      </c>
      <c r="AC130" s="5">
        <f t="shared" si="24"/>
        <v>0</v>
      </c>
      <c r="AD130" s="15">
        <f t="shared" si="18"/>
        <v>-126936.23999999999</v>
      </c>
      <c r="AE130" s="19"/>
      <c r="AF130" s="18">
        <f t="shared" si="19"/>
        <v>1537200</v>
      </c>
      <c r="AG130" s="17">
        <f t="shared" si="20"/>
        <v>1614060</v>
      </c>
      <c r="AH130" s="17">
        <f t="shared" si="21"/>
        <v>1694763</v>
      </c>
    </row>
    <row r="131" spans="1:34" ht="45">
      <c r="A131" s="8" t="s">
        <v>150</v>
      </c>
      <c r="B131" s="11">
        <v>1289364.17</v>
      </c>
      <c r="C131" s="11">
        <v>1483864.37</v>
      </c>
      <c r="D131" s="9">
        <f t="shared" si="15"/>
        <v>1503686.43</v>
      </c>
      <c r="E131" s="11">
        <f>865717.86+195361.11</f>
        <v>1061078.97</v>
      </c>
      <c r="F131" s="11">
        <f t="shared" si="16"/>
        <v>1119438.31</v>
      </c>
      <c r="G131" s="11">
        <f>262000+30000</f>
        <v>292000</v>
      </c>
      <c r="H131" s="11"/>
      <c r="I131" s="11"/>
      <c r="J131" s="12"/>
      <c r="K131" s="12">
        <f t="shared" si="22"/>
        <v>88661.79000000001</v>
      </c>
      <c r="L131" s="13">
        <f>E131+G131+H131+I131+J131+K131</f>
        <v>1441740.76</v>
      </c>
      <c r="M131" s="13">
        <f>ROUND(L131*1.055,2)</f>
        <v>1521036.5</v>
      </c>
      <c r="N131" s="23"/>
      <c r="O131" s="15">
        <v>14495.04</v>
      </c>
      <c r="P131" s="15"/>
      <c r="Q131" s="15"/>
      <c r="R131" s="15"/>
      <c r="S131" s="15"/>
      <c r="T131" s="15"/>
      <c r="U131" s="15"/>
      <c r="V131" s="15"/>
      <c r="W131" s="16"/>
      <c r="X131" s="16"/>
      <c r="Y131" s="16">
        <v>74166.75</v>
      </c>
      <c r="Z131" s="16"/>
      <c r="AA131" s="16"/>
      <c r="AB131" s="15">
        <f>AA131+V131+U131+T131+S131+R131+Q131+P131+O131+N131+W131+X131+Y131+Z131</f>
        <v>88661.79000000001</v>
      </c>
      <c r="AC131" s="5">
        <f t="shared" si="24"/>
        <v>0</v>
      </c>
      <c r="AD131" s="15">
        <f t="shared" si="18"/>
        <v>-17350.070000000065</v>
      </c>
      <c r="AE131" s="19"/>
      <c r="AF131" s="18">
        <f t="shared" si="19"/>
        <v>1521036.5</v>
      </c>
      <c r="AG131" s="17">
        <f t="shared" si="20"/>
        <v>1597088</v>
      </c>
      <c r="AH131" s="17">
        <f t="shared" si="21"/>
        <v>1676942</v>
      </c>
    </row>
    <row r="132" spans="1:34" ht="45">
      <c r="A132" s="8" t="s">
        <v>151</v>
      </c>
      <c r="B132" s="11">
        <v>494882.56</v>
      </c>
      <c r="C132" s="11">
        <v>640662.74</v>
      </c>
      <c r="D132" s="9">
        <f t="shared" si="15"/>
        <v>614663.18</v>
      </c>
      <c r="E132" s="11">
        <v>559269.06</v>
      </c>
      <c r="F132" s="11">
        <f t="shared" si="16"/>
        <v>590028.86</v>
      </c>
      <c r="G132" s="11"/>
      <c r="H132" s="11"/>
      <c r="I132" s="11">
        <v>78589.15</v>
      </c>
      <c r="J132" s="12"/>
      <c r="K132" s="12">
        <f t="shared" si="22"/>
        <v>65625.01</v>
      </c>
      <c r="L132" s="13">
        <f>E132+G132+H132+I132+J132+K132</f>
        <v>703483.2200000001</v>
      </c>
      <c r="M132" s="13">
        <f>ROUND(L132*1.055,2)</f>
        <v>742174.8</v>
      </c>
      <c r="N132" s="23">
        <v>3500</v>
      </c>
      <c r="O132" s="15">
        <v>8098.46</v>
      </c>
      <c r="P132" s="15">
        <v>1650</v>
      </c>
      <c r="Q132" s="15"/>
      <c r="R132" s="15"/>
      <c r="S132" s="15"/>
      <c r="T132" s="15">
        <v>3583.5</v>
      </c>
      <c r="U132" s="15"/>
      <c r="V132" s="15"/>
      <c r="W132" s="16"/>
      <c r="X132" s="16">
        <v>17827.35</v>
      </c>
      <c r="Y132" s="16">
        <v>30965.7</v>
      </c>
      <c r="Z132" s="16"/>
      <c r="AA132" s="16"/>
      <c r="AB132" s="15">
        <f>AA132+V132+U132+T132+S132+R132+Q132+P132+O132+N132+W132+X132+Y132+Z132</f>
        <v>65625.01</v>
      </c>
      <c r="AC132" s="5">
        <f t="shared" si="24"/>
        <v>0</v>
      </c>
      <c r="AD132" s="15">
        <f t="shared" si="18"/>
        <v>-127511.62</v>
      </c>
      <c r="AE132" s="19"/>
      <c r="AF132" s="18">
        <f t="shared" si="19"/>
        <v>742174.8</v>
      </c>
      <c r="AG132" s="17">
        <f t="shared" si="20"/>
        <v>779284</v>
      </c>
      <c r="AH132" s="17">
        <f t="shared" si="21"/>
        <v>818248</v>
      </c>
    </row>
    <row r="133" spans="1:34" ht="22.5">
      <c r="A133" s="29" t="s">
        <v>147</v>
      </c>
      <c r="B133" s="11">
        <v>2477886</v>
      </c>
      <c r="C133" s="24">
        <v>3228073.6</v>
      </c>
      <c r="D133" s="9">
        <f t="shared" si="15"/>
        <v>3088318.78</v>
      </c>
      <c r="E133" s="11">
        <v>2936801</v>
      </c>
      <c r="F133" s="11">
        <f t="shared" si="16"/>
        <v>3098325.06</v>
      </c>
      <c r="G133" s="11">
        <v>189840</v>
      </c>
      <c r="H133" s="11"/>
      <c r="I133" s="11">
        <v>198500</v>
      </c>
      <c r="J133" s="12"/>
      <c r="K133" s="12">
        <f>AB133</f>
        <v>1143505</v>
      </c>
      <c r="L133" s="13">
        <f>E133+G133+H133+I133+J133+K133</f>
        <v>4468646</v>
      </c>
      <c r="M133" s="13">
        <f t="shared" si="17"/>
        <v>4714422</v>
      </c>
      <c r="N133" s="23"/>
      <c r="O133" s="15">
        <v>112450</v>
      </c>
      <c r="P133" s="15"/>
      <c r="Q133" s="15">
        <v>818165</v>
      </c>
      <c r="R133" s="15"/>
      <c r="S133" s="15"/>
      <c r="T133" s="15"/>
      <c r="U133" s="15"/>
      <c r="V133" s="11">
        <v>155590</v>
      </c>
      <c r="W133" s="16">
        <v>48300</v>
      </c>
      <c r="X133" s="16">
        <v>9000</v>
      </c>
      <c r="Y133" s="16"/>
      <c r="Z133" s="16"/>
      <c r="AA133" s="16"/>
      <c r="AB133" s="15">
        <f>AA133+V133+U133+T133+S133+R133+Q133+P133+O133+N133+W133+X133+Y133+Z133</f>
        <v>1143505</v>
      </c>
      <c r="AC133" s="5">
        <f t="shared" si="24"/>
        <v>0</v>
      </c>
      <c r="AD133" s="15">
        <f t="shared" si="18"/>
        <v>-1626103.2200000002</v>
      </c>
      <c r="AE133" s="19"/>
      <c r="AF133" s="18">
        <f t="shared" si="19"/>
        <v>4714422</v>
      </c>
      <c r="AG133" s="17">
        <f t="shared" si="20"/>
        <v>4950143</v>
      </c>
      <c r="AH133" s="17">
        <f t="shared" si="21"/>
        <v>5197650</v>
      </c>
    </row>
    <row r="134" spans="1:34" ht="11.25">
      <c r="A134" s="29"/>
      <c r="B134" s="11"/>
      <c r="C134" s="11"/>
      <c r="D134" s="9"/>
      <c r="E134" s="11"/>
      <c r="F134" s="11">
        <f aca="true" t="shared" si="25" ref="F134:F139">ROUND(E134*1.055,2)</f>
        <v>0</v>
      </c>
      <c r="G134" s="11"/>
      <c r="H134" s="11"/>
      <c r="I134" s="11"/>
      <c r="J134" s="12"/>
      <c r="K134" s="12"/>
      <c r="L134" s="13"/>
      <c r="M134" s="13">
        <f>ROUND(L134*1.055,2)</f>
        <v>0</v>
      </c>
      <c r="N134" s="23"/>
      <c r="O134" s="15"/>
      <c r="P134" s="15"/>
      <c r="Q134" s="15"/>
      <c r="R134" s="15"/>
      <c r="S134" s="15"/>
      <c r="T134" s="15"/>
      <c r="U134" s="15"/>
      <c r="V134" s="15"/>
      <c r="W134" s="16"/>
      <c r="X134" s="16"/>
      <c r="Y134" s="16"/>
      <c r="Z134" s="16"/>
      <c r="AA134" s="16"/>
      <c r="AB134" s="15"/>
      <c r="AD134" s="15"/>
      <c r="AE134" s="19"/>
      <c r="AF134" s="18">
        <f aca="true" t="shared" si="26" ref="AF134:AF139">AE134+M134</f>
        <v>0</v>
      </c>
      <c r="AG134" s="17">
        <f>ROUND(AF134*1.05,2)</f>
        <v>0</v>
      </c>
      <c r="AH134" s="17">
        <f>ROUND(AG134*1.05,2)</f>
        <v>0</v>
      </c>
    </row>
    <row r="135" spans="1:34" ht="33.75">
      <c r="A135" s="8" t="s">
        <v>146</v>
      </c>
      <c r="B135" s="11">
        <v>141154</v>
      </c>
      <c r="C135" s="11">
        <v>148500</v>
      </c>
      <c r="D135" s="9">
        <f t="shared" si="15"/>
        <v>157260.01</v>
      </c>
      <c r="E135" s="11"/>
      <c r="F135" s="11">
        <f t="shared" si="25"/>
        <v>0</v>
      </c>
      <c r="G135" s="11">
        <v>30015</v>
      </c>
      <c r="H135" s="11">
        <f>290+12500</f>
        <v>12790</v>
      </c>
      <c r="I135" s="11"/>
      <c r="J135" s="12"/>
      <c r="K135" s="12">
        <f>AB135</f>
        <v>111593.3</v>
      </c>
      <c r="L135" s="13">
        <f>E135+G135+H135+I135+J135+K135</f>
        <v>154398.3</v>
      </c>
      <c r="M135" s="13">
        <f t="shared" si="17"/>
        <v>162890</v>
      </c>
      <c r="N135" s="23"/>
      <c r="O135" s="15">
        <v>24544.3</v>
      </c>
      <c r="P135" s="15">
        <f>12412+935+670</f>
        <v>14017</v>
      </c>
      <c r="Q135" s="15">
        <f>17737+38755</f>
        <v>56492</v>
      </c>
      <c r="R135" s="15"/>
      <c r="S135" s="15"/>
      <c r="T135" s="15"/>
      <c r="U135" s="15"/>
      <c r="V135" s="15"/>
      <c r="W135" s="16"/>
      <c r="X135" s="16">
        <v>16540</v>
      </c>
      <c r="Y135" s="16"/>
      <c r="Z135" s="16"/>
      <c r="AA135" s="16"/>
      <c r="AB135" s="15">
        <f>AA135+V135+U135+T135+S135+R135+Q135+P135+O135+N135+W135+X135+Y135+Z135</f>
        <v>111593.3</v>
      </c>
      <c r="AC135" s="5">
        <f>K135-AB135</f>
        <v>0</v>
      </c>
      <c r="AD135" s="15">
        <f t="shared" si="18"/>
        <v>-5629.989999999991</v>
      </c>
      <c r="AE135" s="19"/>
      <c r="AF135" s="18">
        <f t="shared" si="26"/>
        <v>162890</v>
      </c>
      <c r="AG135" s="17">
        <f t="shared" si="20"/>
        <v>171035</v>
      </c>
      <c r="AH135" s="17">
        <f t="shared" si="21"/>
        <v>179587</v>
      </c>
    </row>
    <row r="136" spans="1:34" ht="11.25">
      <c r="A136" s="8"/>
      <c r="B136" s="11"/>
      <c r="C136" s="11"/>
      <c r="D136" s="9"/>
      <c r="E136" s="11"/>
      <c r="F136" s="11">
        <f t="shared" si="25"/>
        <v>0</v>
      </c>
      <c r="G136" s="11"/>
      <c r="H136" s="11"/>
      <c r="I136" s="11"/>
      <c r="J136" s="12"/>
      <c r="K136" s="12"/>
      <c r="L136" s="13"/>
      <c r="M136" s="13">
        <f>ROUND(L136*1.055,2)</f>
        <v>0</v>
      </c>
      <c r="N136" s="23"/>
      <c r="O136" s="15"/>
      <c r="P136" s="15"/>
      <c r="Q136" s="15"/>
      <c r="R136" s="15"/>
      <c r="S136" s="15"/>
      <c r="T136" s="15"/>
      <c r="U136" s="15"/>
      <c r="V136" s="15"/>
      <c r="W136" s="16"/>
      <c r="X136" s="16"/>
      <c r="Y136" s="16"/>
      <c r="Z136" s="16"/>
      <c r="AA136" s="16"/>
      <c r="AB136" s="15"/>
      <c r="AD136" s="15"/>
      <c r="AE136" s="19"/>
      <c r="AF136" s="18">
        <f t="shared" si="26"/>
        <v>0</v>
      </c>
      <c r="AG136" s="17">
        <f>ROUND(AF136*1.05,2)</f>
        <v>0</v>
      </c>
      <c r="AH136" s="17">
        <f>ROUND(AG136*1.05,2)</f>
        <v>0</v>
      </c>
    </row>
    <row r="137" spans="1:34" ht="33.75">
      <c r="A137" s="30" t="s">
        <v>148</v>
      </c>
      <c r="B137" s="11">
        <v>0</v>
      </c>
      <c r="C137" s="11">
        <v>74251</v>
      </c>
      <c r="D137" s="9">
        <f t="shared" si="15"/>
        <v>39167.4</v>
      </c>
      <c r="E137" s="11"/>
      <c r="F137" s="11">
        <f t="shared" si="25"/>
        <v>0</v>
      </c>
      <c r="G137" s="54">
        <v>75238.24</v>
      </c>
      <c r="H137" s="54">
        <v>12956.4</v>
      </c>
      <c r="I137" s="11"/>
      <c r="J137" s="12"/>
      <c r="K137" s="12">
        <f>AB137</f>
        <v>0</v>
      </c>
      <c r="L137" s="13">
        <f>E137+G137+H137+I137+J137+K137</f>
        <v>88194.64</v>
      </c>
      <c r="M137" s="13">
        <f t="shared" si="17"/>
        <v>93045</v>
      </c>
      <c r="N137" s="23"/>
      <c r="O137" s="15"/>
      <c r="P137" s="15"/>
      <c r="Q137" s="15"/>
      <c r="R137" s="15"/>
      <c r="S137" s="15"/>
      <c r="T137" s="15"/>
      <c r="U137" s="15"/>
      <c r="V137" s="15"/>
      <c r="W137" s="16"/>
      <c r="X137" s="16"/>
      <c r="Y137" s="16"/>
      <c r="Z137" s="16"/>
      <c r="AA137" s="16"/>
      <c r="AB137" s="15">
        <f>AA137+V137+U137+T137+S137+R137+Q137+P137+O137+N137+W137+X137+Y137+Z137</f>
        <v>0</v>
      </c>
      <c r="AC137" s="5">
        <f>K137-AB137</f>
        <v>0</v>
      </c>
      <c r="AD137" s="15">
        <f t="shared" si="18"/>
        <v>-53877.6</v>
      </c>
      <c r="AE137" s="19"/>
      <c r="AF137" s="18">
        <f t="shared" si="26"/>
        <v>93045</v>
      </c>
      <c r="AG137" s="17">
        <f t="shared" si="20"/>
        <v>97697</v>
      </c>
      <c r="AH137" s="17">
        <f t="shared" si="21"/>
        <v>102582</v>
      </c>
    </row>
    <row r="138" spans="1:34" ht="17.25" customHeight="1">
      <c r="A138" s="30"/>
      <c r="B138" s="11"/>
      <c r="C138" s="11"/>
      <c r="D138" s="9"/>
      <c r="E138" s="11"/>
      <c r="F138" s="11">
        <f t="shared" si="25"/>
        <v>0</v>
      </c>
      <c r="G138" s="11"/>
      <c r="H138" s="11"/>
      <c r="I138" s="11"/>
      <c r="J138" s="12"/>
      <c r="K138" s="12"/>
      <c r="L138" s="13"/>
      <c r="M138" s="13">
        <f>ROUND(L138*1.055,2)</f>
        <v>0</v>
      </c>
      <c r="N138" s="23"/>
      <c r="O138" s="15"/>
      <c r="P138" s="15"/>
      <c r="Q138" s="15"/>
      <c r="R138" s="15"/>
      <c r="S138" s="15"/>
      <c r="T138" s="15"/>
      <c r="U138" s="15"/>
      <c r="V138" s="15"/>
      <c r="W138" s="16"/>
      <c r="X138" s="16"/>
      <c r="Y138" s="16"/>
      <c r="Z138" s="16"/>
      <c r="AA138" s="16"/>
      <c r="AB138" s="15"/>
      <c r="AD138" s="15"/>
      <c r="AE138" s="19"/>
      <c r="AF138" s="18">
        <f t="shared" si="26"/>
        <v>0</v>
      </c>
      <c r="AG138" s="17">
        <f>ROUND(AF138*1.05,2)</f>
        <v>0</v>
      </c>
      <c r="AH138" s="17">
        <f>ROUND(AG138*1.05,2)</f>
        <v>0</v>
      </c>
    </row>
    <row r="139" spans="1:34" ht="27.75" customHeight="1">
      <c r="A139" s="29" t="s">
        <v>9</v>
      </c>
      <c r="B139" s="24">
        <v>84695</v>
      </c>
      <c r="C139" s="24">
        <v>107800</v>
      </c>
      <c r="D139" s="9">
        <f>ROUND((B139*1.06+C139)/2,2)</f>
        <v>98788.35</v>
      </c>
      <c r="E139" s="11"/>
      <c r="F139" s="11">
        <f t="shared" si="25"/>
        <v>0</v>
      </c>
      <c r="G139" s="22">
        <v>68296.8</v>
      </c>
      <c r="H139" s="22">
        <f>10580+4411</f>
        <v>14991</v>
      </c>
      <c r="I139" s="22"/>
      <c r="J139" s="22"/>
      <c r="K139" s="12">
        <f>AB139</f>
        <v>34846.5</v>
      </c>
      <c r="L139" s="13">
        <f>E139+G139+H139+I139+J139+K139</f>
        <v>118134.3</v>
      </c>
      <c r="M139" s="13">
        <f t="shared" si="17"/>
        <v>124632</v>
      </c>
      <c r="N139" s="23"/>
      <c r="O139" s="15">
        <f>25647.82-150</f>
        <v>25497.82</v>
      </c>
      <c r="P139" s="15">
        <v>4177.88</v>
      </c>
      <c r="Q139" s="15">
        <v>5170.8</v>
      </c>
      <c r="R139" s="15"/>
      <c r="S139" s="15"/>
      <c r="T139" s="15"/>
      <c r="U139" s="15"/>
      <c r="V139" s="15"/>
      <c r="W139" s="16"/>
      <c r="X139" s="16"/>
      <c r="Y139" s="16"/>
      <c r="Z139" s="16"/>
      <c r="AA139" s="16"/>
      <c r="AB139" s="15">
        <f>AA139+V139+U139+T139+S139+R139+Q139+P139+O139+N139+W139+X139+Y139+Z139</f>
        <v>34846.5</v>
      </c>
      <c r="AC139" s="5">
        <f>K139-AB139</f>
        <v>0</v>
      </c>
      <c r="AD139" s="15">
        <f t="shared" si="18"/>
        <v>-25843.649999999994</v>
      </c>
      <c r="AE139" s="19"/>
      <c r="AF139" s="18">
        <f t="shared" si="26"/>
        <v>124632</v>
      </c>
      <c r="AG139" s="17">
        <f t="shared" si="20"/>
        <v>130864</v>
      </c>
      <c r="AH139" s="17">
        <f t="shared" si="21"/>
        <v>137407</v>
      </c>
    </row>
    <row r="140" spans="1:30" ht="15" customHeight="1">
      <c r="A140" s="2"/>
      <c r="B140" s="31"/>
      <c r="C140" s="31"/>
      <c r="D140" s="9"/>
      <c r="E140" s="32"/>
      <c r="F140" s="32"/>
      <c r="G140" s="31"/>
      <c r="H140" s="31"/>
      <c r="I140" s="31"/>
      <c r="J140" s="31"/>
      <c r="K140" s="31"/>
      <c r="L140" s="13"/>
      <c r="M140" s="13"/>
      <c r="N140" s="23"/>
      <c r="O140" s="15"/>
      <c r="P140" s="15"/>
      <c r="Q140" s="15"/>
      <c r="R140" s="15"/>
      <c r="S140" s="15"/>
      <c r="T140" s="15"/>
      <c r="U140" s="15"/>
      <c r="V140" s="15"/>
      <c r="W140" s="16"/>
      <c r="X140" s="16"/>
      <c r="Y140" s="16"/>
      <c r="Z140" s="16"/>
      <c r="AA140" s="16"/>
      <c r="AB140" s="15"/>
      <c r="AD140" s="15"/>
    </row>
    <row r="141" spans="1:34" ht="11.25">
      <c r="A141" s="33" t="s">
        <v>157</v>
      </c>
      <c r="B141" s="34">
        <f>SUM(B5:B74)</f>
        <v>4503539</v>
      </c>
      <c r="C141" s="34">
        <f aca="true" t="shared" si="27" ref="C141:AB141">SUM(C5:C74)</f>
        <v>5235058.52</v>
      </c>
      <c r="D141" s="34">
        <f t="shared" si="27"/>
        <v>5279647.19</v>
      </c>
      <c r="E141" s="34" t="e">
        <f t="shared" si="27"/>
        <v>#REF!</v>
      </c>
      <c r="F141" s="34" t="e">
        <f t="shared" si="27"/>
        <v>#REF!</v>
      </c>
      <c r="G141" s="34">
        <f t="shared" si="27"/>
        <v>1192474.52</v>
      </c>
      <c r="H141" s="34">
        <f t="shared" si="27"/>
        <v>157084</v>
      </c>
      <c r="I141" s="34">
        <f t="shared" si="27"/>
        <v>29205</v>
      </c>
      <c r="J141" s="34">
        <f t="shared" si="27"/>
        <v>0</v>
      </c>
      <c r="K141" s="34">
        <f t="shared" si="27"/>
        <v>636926.02</v>
      </c>
      <c r="L141" s="34" t="e">
        <f t="shared" si="27"/>
        <v>#REF!</v>
      </c>
      <c r="M141" s="34" t="e">
        <f t="shared" si="27"/>
        <v>#REF!</v>
      </c>
      <c r="N141" s="34">
        <f t="shared" si="27"/>
        <v>61744</v>
      </c>
      <c r="O141" s="34">
        <f t="shared" si="27"/>
        <v>94937</v>
      </c>
      <c r="P141" s="34">
        <f t="shared" si="27"/>
        <v>90001.22</v>
      </c>
      <c r="Q141" s="34">
        <f t="shared" si="27"/>
        <v>61216.8</v>
      </c>
      <c r="R141" s="34">
        <f t="shared" si="27"/>
        <v>0</v>
      </c>
      <c r="S141" s="34">
        <f t="shared" si="27"/>
        <v>0</v>
      </c>
      <c r="T141" s="34">
        <f t="shared" si="27"/>
        <v>0</v>
      </c>
      <c r="U141" s="34">
        <f t="shared" si="27"/>
        <v>0</v>
      </c>
      <c r="V141" s="34">
        <f t="shared" si="27"/>
        <v>54027</v>
      </c>
      <c r="W141" s="34">
        <f t="shared" si="27"/>
        <v>0</v>
      </c>
      <c r="X141" s="34">
        <f t="shared" si="27"/>
        <v>0</v>
      </c>
      <c r="Y141" s="34">
        <f t="shared" si="27"/>
        <v>0</v>
      </c>
      <c r="Z141" s="34">
        <f t="shared" si="27"/>
        <v>0</v>
      </c>
      <c r="AA141" s="34">
        <f t="shared" si="27"/>
        <v>275000</v>
      </c>
      <c r="AB141" s="34">
        <f t="shared" si="27"/>
        <v>636926.02</v>
      </c>
      <c r="AC141" s="34">
        <f aca="true" t="shared" si="28" ref="AC141:AH141">SUM(AC5:AC74)</f>
        <v>0</v>
      </c>
      <c r="AD141" s="34" t="e">
        <f t="shared" si="28"/>
        <v>#REF!</v>
      </c>
      <c r="AE141" s="34">
        <f t="shared" si="28"/>
        <v>0</v>
      </c>
      <c r="AF141" s="34" t="e">
        <f t="shared" si="28"/>
        <v>#REF!</v>
      </c>
      <c r="AG141" s="34" t="e">
        <f t="shared" si="28"/>
        <v>#REF!</v>
      </c>
      <c r="AH141" s="34" t="e">
        <f t="shared" si="28"/>
        <v>#REF!</v>
      </c>
    </row>
    <row r="142" spans="1:34" ht="11.25">
      <c r="A142" s="3" t="s">
        <v>158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</row>
    <row r="143" spans="1:34" ht="11.25">
      <c r="A143" s="36" t="s">
        <v>159</v>
      </c>
      <c r="B143" s="37">
        <f>SUM(B5:B74)-B15-B74</f>
        <v>588279</v>
      </c>
      <c r="C143" s="37">
        <f aca="true" t="shared" si="29" ref="C143:AB143">SUM(C5:C74)-C15-C74</f>
        <v>953984.5199999996</v>
      </c>
      <c r="D143" s="37">
        <f t="shared" si="29"/>
        <v>832163.0300000003</v>
      </c>
      <c r="E143" s="37" t="e">
        <f t="shared" si="29"/>
        <v>#REF!</v>
      </c>
      <c r="F143" s="37" t="e">
        <f>SUM(F5:F74)-F15-F74</f>
        <v>#REF!</v>
      </c>
      <c r="G143" s="37">
        <f t="shared" si="29"/>
        <v>1068867.52</v>
      </c>
      <c r="H143" s="37">
        <f t="shared" si="29"/>
        <v>45316</v>
      </c>
      <c r="I143" s="37">
        <f t="shared" si="29"/>
        <v>0</v>
      </c>
      <c r="J143" s="37">
        <f t="shared" si="29"/>
        <v>0</v>
      </c>
      <c r="K143" s="37">
        <f t="shared" si="29"/>
        <v>440671.02</v>
      </c>
      <c r="L143" s="37" t="e">
        <f t="shared" si="29"/>
        <v>#REF!</v>
      </c>
      <c r="M143" s="37" t="e">
        <f>SUM(M5:M74)-M15-M74</f>
        <v>#REF!</v>
      </c>
      <c r="N143" s="37">
        <f t="shared" si="29"/>
        <v>61744</v>
      </c>
      <c r="O143" s="37">
        <f t="shared" si="29"/>
        <v>10263.800000000003</v>
      </c>
      <c r="P143" s="37">
        <f t="shared" si="29"/>
        <v>78506.22</v>
      </c>
      <c r="Q143" s="37">
        <f t="shared" si="29"/>
        <v>0</v>
      </c>
      <c r="R143" s="37">
        <f t="shared" si="29"/>
        <v>0</v>
      </c>
      <c r="S143" s="37">
        <f t="shared" si="29"/>
        <v>0</v>
      </c>
      <c r="T143" s="37">
        <f t="shared" si="29"/>
        <v>0</v>
      </c>
      <c r="U143" s="37">
        <f t="shared" si="29"/>
        <v>0</v>
      </c>
      <c r="V143" s="37">
        <f t="shared" si="29"/>
        <v>15157</v>
      </c>
      <c r="W143" s="37">
        <f t="shared" si="29"/>
        <v>0</v>
      </c>
      <c r="X143" s="37">
        <f t="shared" si="29"/>
        <v>0</v>
      </c>
      <c r="Y143" s="37">
        <f t="shared" si="29"/>
        <v>0</v>
      </c>
      <c r="Z143" s="37">
        <f t="shared" si="29"/>
        <v>0</v>
      </c>
      <c r="AA143" s="37">
        <f t="shared" si="29"/>
        <v>275000</v>
      </c>
      <c r="AB143" s="37">
        <f t="shared" si="29"/>
        <v>440671.02</v>
      </c>
      <c r="AC143" s="37">
        <f aca="true" t="shared" si="30" ref="AC143:AH143">SUM(AC5:AC74)-AC15-AC74</f>
        <v>0</v>
      </c>
      <c r="AD143" s="37" t="e">
        <f t="shared" si="30"/>
        <v>#REF!</v>
      </c>
      <c r="AE143" s="37">
        <f t="shared" si="30"/>
        <v>0</v>
      </c>
      <c r="AF143" s="37" t="e">
        <f t="shared" si="30"/>
        <v>#REF!</v>
      </c>
      <c r="AG143" s="37" t="e">
        <f t="shared" si="30"/>
        <v>#REF!</v>
      </c>
      <c r="AH143" s="37" t="e">
        <f t="shared" si="30"/>
        <v>#REF!</v>
      </c>
    </row>
    <row r="144" spans="1:34" ht="11.25">
      <c r="A144" s="36" t="s">
        <v>160</v>
      </c>
      <c r="B144" s="37">
        <f>B15</f>
        <v>0</v>
      </c>
      <c r="C144" s="37">
        <f aca="true" t="shared" si="31" ref="C144:AB144">C15</f>
        <v>0</v>
      </c>
      <c r="D144" s="37">
        <f t="shared" si="31"/>
        <v>0</v>
      </c>
      <c r="E144" s="37">
        <f t="shared" si="31"/>
        <v>0</v>
      </c>
      <c r="F144" s="37">
        <f t="shared" si="31"/>
        <v>0</v>
      </c>
      <c r="G144" s="37">
        <f t="shared" si="31"/>
        <v>0</v>
      </c>
      <c r="H144" s="37">
        <f t="shared" si="31"/>
        <v>0</v>
      </c>
      <c r="I144" s="37">
        <f t="shared" si="31"/>
        <v>0</v>
      </c>
      <c r="J144" s="37">
        <f t="shared" si="31"/>
        <v>0</v>
      </c>
      <c r="K144" s="37">
        <f t="shared" si="31"/>
        <v>0</v>
      </c>
      <c r="L144" s="37">
        <f t="shared" si="31"/>
        <v>0</v>
      </c>
      <c r="M144" s="37">
        <f t="shared" si="31"/>
        <v>0</v>
      </c>
      <c r="N144" s="37">
        <f t="shared" si="31"/>
        <v>0</v>
      </c>
      <c r="O144" s="37">
        <f t="shared" si="31"/>
        <v>0</v>
      </c>
      <c r="P144" s="37">
        <f t="shared" si="31"/>
        <v>0</v>
      </c>
      <c r="Q144" s="37">
        <f t="shared" si="31"/>
        <v>0</v>
      </c>
      <c r="R144" s="37">
        <f t="shared" si="31"/>
        <v>0</v>
      </c>
      <c r="S144" s="37">
        <f t="shared" si="31"/>
        <v>0</v>
      </c>
      <c r="T144" s="37">
        <f t="shared" si="31"/>
        <v>0</v>
      </c>
      <c r="U144" s="37">
        <f t="shared" si="31"/>
        <v>0</v>
      </c>
      <c r="V144" s="37">
        <f t="shared" si="31"/>
        <v>0</v>
      </c>
      <c r="W144" s="37">
        <f t="shared" si="31"/>
        <v>0</v>
      </c>
      <c r="X144" s="37">
        <f t="shared" si="31"/>
        <v>0</v>
      </c>
      <c r="Y144" s="37">
        <f t="shared" si="31"/>
        <v>0</v>
      </c>
      <c r="Z144" s="37">
        <f t="shared" si="31"/>
        <v>0</v>
      </c>
      <c r="AA144" s="37">
        <f t="shared" si="31"/>
        <v>0</v>
      </c>
      <c r="AB144" s="37">
        <f t="shared" si="31"/>
        <v>0</v>
      </c>
      <c r="AC144" s="37">
        <f aca="true" t="shared" si="32" ref="AC144:AH144">AC15</f>
        <v>0</v>
      </c>
      <c r="AD144" s="37">
        <f t="shared" si="32"/>
        <v>0</v>
      </c>
      <c r="AE144" s="37">
        <f t="shared" si="32"/>
        <v>0</v>
      </c>
      <c r="AF144" s="37">
        <f t="shared" si="32"/>
        <v>0</v>
      </c>
      <c r="AG144" s="37">
        <f t="shared" si="32"/>
        <v>0</v>
      </c>
      <c r="AH144" s="37">
        <f t="shared" si="32"/>
        <v>0</v>
      </c>
    </row>
    <row r="145" spans="1:34" ht="11.25">
      <c r="A145" s="36" t="s">
        <v>161</v>
      </c>
      <c r="B145" s="37">
        <f>B74</f>
        <v>3915260</v>
      </c>
      <c r="C145" s="37">
        <f aca="true" t="shared" si="33" ref="C145:AB145">C74</f>
        <v>4281074</v>
      </c>
      <c r="D145" s="37">
        <f t="shared" si="33"/>
        <v>4447484.16</v>
      </c>
      <c r="E145" s="37">
        <f t="shared" si="33"/>
        <v>4505037.2</v>
      </c>
      <c r="F145" s="37">
        <f t="shared" si="33"/>
        <v>4752814.25</v>
      </c>
      <c r="G145" s="37">
        <f t="shared" si="33"/>
        <v>123607</v>
      </c>
      <c r="H145" s="37">
        <f t="shared" si="33"/>
        <v>111768</v>
      </c>
      <c r="I145" s="37">
        <f t="shared" si="33"/>
        <v>29205</v>
      </c>
      <c r="J145" s="37">
        <f t="shared" si="33"/>
        <v>0</v>
      </c>
      <c r="K145" s="37">
        <f t="shared" si="33"/>
        <v>196255</v>
      </c>
      <c r="L145" s="37">
        <f t="shared" si="33"/>
        <v>4965872.2</v>
      </c>
      <c r="M145" s="37">
        <f t="shared" si="33"/>
        <v>5238995</v>
      </c>
      <c r="N145" s="37">
        <f t="shared" si="33"/>
        <v>0</v>
      </c>
      <c r="O145" s="37">
        <f t="shared" si="33"/>
        <v>84673.2</v>
      </c>
      <c r="P145" s="37">
        <f t="shared" si="33"/>
        <v>11495</v>
      </c>
      <c r="Q145" s="37">
        <f t="shared" si="33"/>
        <v>61216.8</v>
      </c>
      <c r="R145" s="37">
        <f t="shared" si="33"/>
        <v>0</v>
      </c>
      <c r="S145" s="37">
        <f t="shared" si="33"/>
        <v>0</v>
      </c>
      <c r="T145" s="37">
        <f t="shared" si="33"/>
        <v>0</v>
      </c>
      <c r="U145" s="37">
        <f t="shared" si="33"/>
        <v>0</v>
      </c>
      <c r="V145" s="37">
        <f t="shared" si="33"/>
        <v>38870</v>
      </c>
      <c r="W145" s="37">
        <f t="shared" si="33"/>
        <v>0</v>
      </c>
      <c r="X145" s="37">
        <f t="shared" si="33"/>
        <v>0</v>
      </c>
      <c r="Y145" s="37">
        <f t="shared" si="33"/>
        <v>0</v>
      </c>
      <c r="Z145" s="37">
        <f t="shared" si="33"/>
        <v>0</v>
      </c>
      <c r="AA145" s="37">
        <f t="shared" si="33"/>
        <v>0</v>
      </c>
      <c r="AB145" s="37">
        <f t="shared" si="33"/>
        <v>196255</v>
      </c>
      <c r="AC145" s="37">
        <f aca="true" t="shared" si="34" ref="AC145:AH145">AC74</f>
        <v>0</v>
      </c>
      <c r="AD145" s="37">
        <f t="shared" si="34"/>
        <v>-791510.8399999999</v>
      </c>
      <c r="AE145" s="37">
        <f t="shared" si="34"/>
        <v>0</v>
      </c>
      <c r="AF145" s="37">
        <f t="shared" si="34"/>
        <v>5238995</v>
      </c>
      <c r="AG145" s="37">
        <f t="shared" si="34"/>
        <v>5500945</v>
      </c>
      <c r="AH145" s="37">
        <f t="shared" si="34"/>
        <v>5775992</v>
      </c>
    </row>
    <row r="146" spans="2:34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ht="11.25">
      <c r="A147" s="38" t="s">
        <v>162</v>
      </c>
      <c r="B147" s="39">
        <f>SUM(B75:B117)</f>
        <v>35450194.72</v>
      </c>
      <c r="C147" s="39">
        <f aca="true" t="shared" si="35" ref="C147:AB147">SUM(C75:C117)</f>
        <v>35409697.79</v>
      </c>
      <c r="D147" s="39">
        <f t="shared" si="35"/>
        <v>38500591.92</v>
      </c>
      <c r="E147" s="39" t="e">
        <f>SUM(E75:E117)</f>
        <v>#REF!</v>
      </c>
      <c r="F147" s="39" t="e">
        <f t="shared" si="35"/>
        <v>#REF!</v>
      </c>
      <c r="G147" s="39">
        <f t="shared" si="35"/>
        <v>0</v>
      </c>
      <c r="H147" s="39">
        <f t="shared" si="35"/>
        <v>0</v>
      </c>
      <c r="I147" s="39">
        <f t="shared" si="35"/>
        <v>39606</v>
      </c>
      <c r="J147" s="39">
        <f t="shared" si="35"/>
        <v>0</v>
      </c>
      <c r="K147" s="39">
        <f>SUM(K75:K117)</f>
        <v>300465.7</v>
      </c>
      <c r="L147" s="39" t="e">
        <f>SUM(L75:L117)</f>
        <v>#REF!</v>
      </c>
      <c r="M147" s="39" t="e">
        <f t="shared" si="35"/>
        <v>#REF!</v>
      </c>
      <c r="N147" s="39">
        <f t="shared" si="35"/>
        <v>87770</v>
      </c>
      <c r="O147" s="39">
        <f t="shared" si="35"/>
        <v>0</v>
      </c>
      <c r="P147" s="39">
        <f t="shared" si="35"/>
        <v>14486</v>
      </c>
      <c r="Q147" s="39">
        <f t="shared" si="35"/>
        <v>198209.7</v>
      </c>
      <c r="R147" s="39">
        <f t="shared" si="35"/>
        <v>0</v>
      </c>
      <c r="S147" s="39">
        <f t="shared" si="35"/>
        <v>0</v>
      </c>
      <c r="T147" s="39">
        <f t="shared" si="35"/>
        <v>0</v>
      </c>
      <c r="U147" s="39">
        <f t="shared" si="35"/>
        <v>0</v>
      </c>
      <c r="V147" s="39">
        <f t="shared" si="35"/>
        <v>0</v>
      </c>
      <c r="W147" s="39">
        <f t="shared" si="35"/>
        <v>0</v>
      </c>
      <c r="X147" s="39">
        <f t="shared" si="35"/>
        <v>0</v>
      </c>
      <c r="Y147" s="39">
        <f t="shared" si="35"/>
        <v>0</v>
      </c>
      <c r="Z147" s="39">
        <f t="shared" si="35"/>
        <v>0</v>
      </c>
      <c r="AA147" s="39">
        <f t="shared" si="35"/>
        <v>0</v>
      </c>
      <c r="AB147" s="39">
        <f t="shared" si="35"/>
        <v>300465.7</v>
      </c>
      <c r="AC147" s="39">
        <f aca="true" t="shared" si="36" ref="AC147:AH147">SUM(AC75:AC117)</f>
        <v>0</v>
      </c>
      <c r="AD147" s="39" t="e">
        <f t="shared" si="36"/>
        <v>#REF!</v>
      </c>
      <c r="AE147" s="39">
        <f t="shared" si="36"/>
        <v>1957864</v>
      </c>
      <c r="AF147" s="39" t="e">
        <f t="shared" si="36"/>
        <v>#REF!</v>
      </c>
      <c r="AG147" s="39" t="e">
        <f t="shared" si="36"/>
        <v>#REF!</v>
      </c>
      <c r="AH147" s="39" t="e">
        <f t="shared" si="36"/>
        <v>#REF!</v>
      </c>
    </row>
    <row r="148" spans="1:34" ht="11.25">
      <c r="A148" s="40" t="s">
        <v>158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</row>
    <row r="149" spans="1:34" ht="11.25">
      <c r="A149" s="36" t="s">
        <v>163</v>
      </c>
      <c r="B149" s="39">
        <f>SUM(B75:B117)-B110-B113</f>
        <v>32247997.65</v>
      </c>
      <c r="C149" s="39">
        <f aca="true" t="shared" si="37" ref="C149:AB149">SUM(C75:C117)-C110-C113</f>
        <v>31746358.79</v>
      </c>
      <c r="D149" s="39">
        <f t="shared" si="37"/>
        <v>34777672.11000001</v>
      </c>
      <c r="E149" s="39" t="e">
        <f t="shared" si="37"/>
        <v>#REF!</v>
      </c>
      <c r="F149" s="39" t="e">
        <f>SUM(F75:F117)-F110-F113</f>
        <v>#REF!</v>
      </c>
      <c r="G149" s="39">
        <f t="shared" si="37"/>
        <v>0</v>
      </c>
      <c r="H149" s="39">
        <f t="shared" si="37"/>
        <v>0</v>
      </c>
      <c r="I149" s="39">
        <f t="shared" si="37"/>
        <v>39606</v>
      </c>
      <c r="J149" s="39">
        <f t="shared" si="37"/>
        <v>0</v>
      </c>
      <c r="K149" s="39">
        <f t="shared" si="37"/>
        <v>251429.7</v>
      </c>
      <c r="L149" s="39" t="e">
        <f t="shared" si="37"/>
        <v>#REF!</v>
      </c>
      <c r="M149" s="39" t="e">
        <f>SUM(M75:M117)-M110-M113</f>
        <v>#REF!</v>
      </c>
      <c r="N149" s="39">
        <f t="shared" si="37"/>
        <v>50470</v>
      </c>
      <c r="O149" s="39">
        <f t="shared" si="37"/>
        <v>0</v>
      </c>
      <c r="P149" s="39">
        <f t="shared" si="37"/>
        <v>2750</v>
      </c>
      <c r="Q149" s="39">
        <f t="shared" si="37"/>
        <v>198209.7</v>
      </c>
      <c r="R149" s="39">
        <f t="shared" si="37"/>
        <v>0</v>
      </c>
      <c r="S149" s="39">
        <f t="shared" si="37"/>
        <v>0</v>
      </c>
      <c r="T149" s="39">
        <f t="shared" si="37"/>
        <v>0</v>
      </c>
      <c r="U149" s="39">
        <f t="shared" si="37"/>
        <v>0</v>
      </c>
      <c r="V149" s="39">
        <f t="shared" si="37"/>
        <v>0</v>
      </c>
      <c r="W149" s="39">
        <f t="shared" si="37"/>
        <v>0</v>
      </c>
      <c r="X149" s="39">
        <f t="shared" si="37"/>
        <v>0</v>
      </c>
      <c r="Y149" s="39">
        <f t="shared" si="37"/>
        <v>0</v>
      </c>
      <c r="Z149" s="39">
        <f t="shared" si="37"/>
        <v>0</v>
      </c>
      <c r="AA149" s="39">
        <f t="shared" si="37"/>
        <v>0</v>
      </c>
      <c r="AB149" s="39">
        <f t="shared" si="37"/>
        <v>251429.7</v>
      </c>
      <c r="AC149" s="39">
        <f aca="true" t="shared" si="38" ref="AC149:AH149">SUM(AC75:AC117)-AC110-AC113</f>
        <v>0</v>
      </c>
      <c r="AD149" s="39" t="e">
        <f t="shared" si="38"/>
        <v>#REF!</v>
      </c>
      <c r="AE149" s="39">
        <f t="shared" si="38"/>
        <v>1957864</v>
      </c>
      <c r="AF149" s="39" t="e">
        <f t="shared" si="38"/>
        <v>#REF!</v>
      </c>
      <c r="AG149" s="39" t="e">
        <f t="shared" si="38"/>
        <v>#REF!</v>
      </c>
      <c r="AH149" s="39" t="e">
        <f t="shared" si="38"/>
        <v>#REF!</v>
      </c>
    </row>
    <row r="150" spans="1:34" ht="11.25">
      <c r="A150" s="36" t="s">
        <v>164</v>
      </c>
      <c r="B150" s="37">
        <f>B113</f>
        <v>123423.07</v>
      </c>
      <c r="C150" s="37">
        <f aca="true" t="shared" si="39" ref="C150:AB150">C113</f>
        <v>261439</v>
      </c>
      <c r="D150" s="37">
        <f t="shared" si="39"/>
        <v>206921.08</v>
      </c>
      <c r="E150" s="37" t="e">
        <f t="shared" si="39"/>
        <v>#REF!</v>
      </c>
      <c r="F150" s="37" t="e">
        <f t="shared" si="39"/>
        <v>#REF!</v>
      </c>
      <c r="G150" s="37">
        <f t="shared" si="39"/>
        <v>0</v>
      </c>
      <c r="H150" s="37">
        <f t="shared" si="39"/>
        <v>0</v>
      </c>
      <c r="I150" s="37">
        <f t="shared" si="39"/>
        <v>0</v>
      </c>
      <c r="J150" s="37">
        <f t="shared" si="39"/>
        <v>0</v>
      </c>
      <c r="K150" s="37">
        <f t="shared" si="39"/>
        <v>0</v>
      </c>
      <c r="L150" s="37" t="e">
        <f t="shared" si="39"/>
        <v>#REF!</v>
      </c>
      <c r="M150" s="37" t="e">
        <f t="shared" si="39"/>
        <v>#REF!</v>
      </c>
      <c r="N150" s="37">
        <f t="shared" si="39"/>
        <v>0</v>
      </c>
      <c r="O150" s="37">
        <f t="shared" si="39"/>
        <v>0</v>
      </c>
      <c r="P150" s="37">
        <f t="shared" si="39"/>
        <v>0</v>
      </c>
      <c r="Q150" s="37">
        <f t="shared" si="39"/>
        <v>0</v>
      </c>
      <c r="R150" s="37">
        <f t="shared" si="39"/>
        <v>0</v>
      </c>
      <c r="S150" s="37">
        <f t="shared" si="39"/>
        <v>0</v>
      </c>
      <c r="T150" s="37">
        <f t="shared" si="39"/>
        <v>0</v>
      </c>
      <c r="U150" s="37">
        <f t="shared" si="39"/>
        <v>0</v>
      </c>
      <c r="V150" s="37">
        <f t="shared" si="39"/>
        <v>0</v>
      </c>
      <c r="W150" s="37">
        <f t="shared" si="39"/>
        <v>0</v>
      </c>
      <c r="X150" s="37">
        <f t="shared" si="39"/>
        <v>0</v>
      </c>
      <c r="Y150" s="37">
        <f t="shared" si="39"/>
        <v>0</v>
      </c>
      <c r="Z150" s="37">
        <f t="shared" si="39"/>
        <v>0</v>
      </c>
      <c r="AA150" s="37">
        <f t="shared" si="39"/>
        <v>0</v>
      </c>
      <c r="AB150" s="37">
        <f t="shared" si="39"/>
        <v>0</v>
      </c>
      <c r="AC150" s="37">
        <f aca="true" t="shared" si="40" ref="AC150:AH150">AC113</f>
        <v>0</v>
      </c>
      <c r="AD150" s="37" t="e">
        <f t="shared" si="40"/>
        <v>#REF!</v>
      </c>
      <c r="AE150" s="37">
        <f t="shared" si="40"/>
        <v>0</v>
      </c>
      <c r="AF150" s="37" t="e">
        <f t="shared" si="40"/>
        <v>#REF!</v>
      </c>
      <c r="AG150" s="37" t="e">
        <f t="shared" si="40"/>
        <v>#REF!</v>
      </c>
      <c r="AH150" s="37" t="e">
        <f t="shared" si="40"/>
        <v>#REF!</v>
      </c>
    </row>
    <row r="151" spans="1:34" ht="11.25">
      <c r="A151" s="36" t="s">
        <v>165</v>
      </c>
      <c r="B151" s="37">
        <f>B110</f>
        <v>3078774</v>
      </c>
      <c r="C151" s="37">
        <f aca="true" t="shared" si="41" ref="C151:AB151">C110</f>
        <v>3401900</v>
      </c>
      <c r="D151" s="37">
        <f t="shared" si="41"/>
        <v>3515998.73</v>
      </c>
      <c r="E151" s="37" t="e">
        <f t="shared" si="41"/>
        <v>#REF!</v>
      </c>
      <c r="F151" s="37" t="e">
        <f t="shared" si="41"/>
        <v>#REF!</v>
      </c>
      <c r="G151" s="37">
        <f t="shared" si="41"/>
        <v>0</v>
      </c>
      <c r="H151" s="37">
        <f t="shared" si="41"/>
        <v>0</v>
      </c>
      <c r="I151" s="37">
        <f t="shared" si="41"/>
        <v>0</v>
      </c>
      <c r="J151" s="37">
        <f t="shared" si="41"/>
        <v>0</v>
      </c>
      <c r="K151" s="37">
        <f t="shared" si="41"/>
        <v>49036</v>
      </c>
      <c r="L151" s="37" t="e">
        <f t="shared" si="41"/>
        <v>#REF!</v>
      </c>
      <c r="M151" s="37" t="e">
        <f t="shared" si="41"/>
        <v>#REF!</v>
      </c>
      <c r="N151" s="37">
        <f t="shared" si="41"/>
        <v>37300</v>
      </c>
      <c r="O151" s="37">
        <f t="shared" si="41"/>
        <v>0</v>
      </c>
      <c r="P151" s="37">
        <f t="shared" si="41"/>
        <v>11736</v>
      </c>
      <c r="Q151" s="37">
        <f t="shared" si="41"/>
        <v>0</v>
      </c>
      <c r="R151" s="37">
        <f t="shared" si="41"/>
        <v>0</v>
      </c>
      <c r="S151" s="37">
        <f t="shared" si="41"/>
        <v>0</v>
      </c>
      <c r="T151" s="37">
        <f t="shared" si="41"/>
        <v>0</v>
      </c>
      <c r="U151" s="37">
        <f t="shared" si="41"/>
        <v>0</v>
      </c>
      <c r="V151" s="37">
        <f t="shared" si="41"/>
        <v>0</v>
      </c>
      <c r="W151" s="37">
        <f t="shared" si="41"/>
        <v>0</v>
      </c>
      <c r="X151" s="37">
        <f t="shared" si="41"/>
        <v>0</v>
      </c>
      <c r="Y151" s="37">
        <f t="shared" si="41"/>
        <v>0</v>
      </c>
      <c r="Z151" s="37">
        <f t="shared" si="41"/>
        <v>0</v>
      </c>
      <c r="AA151" s="37">
        <f t="shared" si="41"/>
        <v>0</v>
      </c>
      <c r="AB151" s="37">
        <f t="shared" si="41"/>
        <v>49036</v>
      </c>
      <c r="AC151" s="37">
        <f aca="true" t="shared" si="42" ref="AC151:AH151">AC110</f>
        <v>0</v>
      </c>
      <c r="AD151" s="37" t="e">
        <f t="shared" si="42"/>
        <v>#REF!</v>
      </c>
      <c r="AE151" s="37">
        <f t="shared" si="42"/>
        <v>0</v>
      </c>
      <c r="AF151" s="37" t="e">
        <f t="shared" si="42"/>
        <v>#REF!</v>
      </c>
      <c r="AG151" s="37" t="e">
        <f t="shared" si="42"/>
        <v>#REF!</v>
      </c>
      <c r="AH151" s="37" t="e">
        <f t="shared" si="42"/>
        <v>#REF!</v>
      </c>
    </row>
    <row r="152" spans="2:34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ht="11.25">
      <c r="A153" s="42" t="s">
        <v>166</v>
      </c>
      <c r="B153" s="43">
        <f>SUM(B118:B129)</f>
        <v>290807.14</v>
      </c>
      <c r="C153" s="43">
        <f aca="true" t="shared" si="43" ref="C153:AB153">SUM(C118:C129)</f>
        <v>538262</v>
      </c>
      <c r="D153" s="43">
        <f>SUM(D118:D129)</f>
        <v>446538.03</v>
      </c>
      <c r="E153" s="43">
        <f t="shared" si="43"/>
        <v>0</v>
      </c>
      <c r="F153" s="43">
        <f t="shared" si="43"/>
        <v>0</v>
      </c>
      <c r="G153" s="43">
        <f t="shared" si="43"/>
        <v>439517.4</v>
      </c>
      <c r="H153" s="43">
        <f t="shared" si="43"/>
        <v>160451</v>
      </c>
      <c r="I153" s="43">
        <f t="shared" si="43"/>
        <v>0</v>
      </c>
      <c r="J153" s="43">
        <f t="shared" si="43"/>
        <v>0</v>
      </c>
      <c r="K153" s="43">
        <f t="shared" si="43"/>
        <v>115800.75</v>
      </c>
      <c r="L153" s="43">
        <f t="shared" si="43"/>
        <v>715769.15</v>
      </c>
      <c r="M153" s="43">
        <f t="shared" si="43"/>
        <v>755135</v>
      </c>
      <c r="N153" s="43">
        <f t="shared" si="43"/>
        <v>0</v>
      </c>
      <c r="O153" s="43">
        <f t="shared" si="43"/>
        <v>46860.03</v>
      </c>
      <c r="P153" s="43">
        <f t="shared" si="43"/>
        <v>24460.260000000002</v>
      </c>
      <c r="Q153" s="43">
        <f t="shared" si="43"/>
        <v>0</v>
      </c>
      <c r="R153" s="43">
        <f t="shared" si="43"/>
        <v>0</v>
      </c>
      <c r="S153" s="43">
        <f t="shared" si="43"/>
        <v>0</v>
      </c>
      <c r="T153" s="43">
        <f t="shared" si="43"/>
        <v>0</v>
      </c>
      <c r="U153" s="43">
        <f t="shared" si="43"/>
        <v>6499.46</v>
      </c>
      <c r="V153" s="43">
        <f t="shared" si="43"/>
        <v>12981</v>
      </c>
      <c r="W153" s="43">
        <f t="shared" si="43"/>
        <v>0</v>
      </c>
      <c r="X153" s="43">
        <f t="shared" si="43"/>
        <v>0</v>
      </c>
      <c r="Y153" s="43">
        <f t="shared" si="43"/>
        <v>0</v>
      </c>
      <c r="Z153" s="43">
        <f t="shared" si="43"/>
        <v>0</v>
      </c>
      <c r="AA153" s="43">
        <f t="shared" si="43"/>
        <v>25000</v>
      </c>
      <c r="AB153" s="43">
        <f t="shared" si="43"/>
        <v>115800.75</v>
      </c>
      <c r="AC153" s="43">
        <f aca="true" t="shared" si="44" ref="AC153:AH153">SUM(AC118:AC129)</f>
        <v>0</v>
      </c>
      <c r="AD153" s="43">
        <f t="shared" si="44"/>
        <v>-308596.97</v>
      </c>
      <c r="AE153" s="43">
        <f t="shared" si="44"/>
        <v>0</v>
      </c>
      <c r="AF153" s="43">
        <f t="shared" si="44"/>
        <v>755135</v>
      </c>
      <c r="AG153" s="43">
        <f t="shared" si="44"/>
        <v>792893</v>
      </c>
      <c r="AH153" s="43">
        <f t="shared" si="44"/>
        <v>832538</v>
      </c>
    </row>
    <row r="154" spans="2:34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ht="11.25">
      <c r="A155" s="36" t="s">
        <v>167</v>
      </c>
      <c r="B155" s="37">
        <f>SUM(B130:B132)</f>
        <v>2950357.3699999996</v>
      </c>
      <c r="C155" s="37">
        <f aca="true" t="shared" si="45" ref="C155:AB155">SUM(C130:C132)</f>
        <v>3561935.63</v>
      </c>
      <c r="D155" s="37">
        <f t="shared" si="45"/>
        <v>3528613.37</v>
      </c>
      <c r="E155" s="37">
        <f t="shared" si="45"/>
        <v>2746547.37</v>
      </c>
      <c r="F155" s="37">
        <f t="shared" si="45"/>
        <v>2897607.48</v>
      </c>
      <c r="G155" s="37">
        <f t="shared" si="45"/>
        <v>292000</v>
      </c>
      <c r="H155" s="37">
        <f t="shared" si="45"/>
        <v>0</v>
      </c>
      <c r="I155" s="37">
        <f t="shared" si="45"/>
        <v>78589.15</v>
      </c>
      <c r="J155" s="37">
        <f t="shared" si="45"/>
        <v>0</v>
      </c>
      <c r="K155" s="37">
        <f t="shared" si="45"/>
        <v>485149.07000000007</v>
      </c>
      <c r="L155" s="37">
        <f t="shared" si="45"/>
        <v>3602285.5900000003</v>
      </c>
      <c r="M155" s="37">
        <f t="shared" si="45"/>
        <v>3800411.3</v>
      </c>
      <c r="N155" s="37">
        <f t="shared" si="45"/>
        <v>3500</v>
      </c>
      <c r="O155" s="37">
        <f t="shared" si="45"/>
        <v>22593.5</v>
      </c>
      <c r="P155" s="37">
        <f t="shared" si="45"/>
        <v>1650</v>
      </c>
      <c r="Q155" s="37">
        <f t="shared" si="45"/>
        <v>0</v>
      </c>
      <c r="R155" s="37">
        <f t="shared" si="45"/>
        <v>0</v>
      </c>
      <c r="S155" s="37">
        <f t="shared" si="45"/>
        <v>0</v>
      </c>
      <c r="T155" s="37">
        <f t="shared" si="45"/>
        <v>3583.5</v>
      </c>
      <c r="U155" s="37">
        <f t="shared" si="45"/>
        <v>0</v>
      </c>
      <c r="V155" s="37">
        <f t="shared" si="45"/>
        <v>0</v>
      </c>
      <c r="W155" s="37">
        <f t="shared" si="45"/>
        <v>0</v>
      </c>
      <c r="X155" s="37">
        <f t="shared" si="45"/>
        <v>48689.619999999995</v>
      </c>
      <c r="Y155" s="37">
        <f t="shared" si="45"/>
        <v>105132.45</v>
      </c>
      <c r="Z155" s="37">
        <f t="shared" si="45"/>
        <v>300000</v>
      </c>
      <c r="AA155" s="37">
        <f t="shared" si="45"/>
        <v>0</v>
      </c>
      <c r="AB155" s="37">
        <f t="shared" si="45"/>
        <v>485149.07000000007</v>
      </c>
      <c r="AC155" s="37">
        <f aca="true" t="shared" si="46" ref="AC155:AH155">SUM(AC130:AC132)</f>
        <v>0</v>
      </c>
      <c r="AD155" s="37">
        <f t="shared" si="46"/>
        <v>-271797.93000000005</v>
      </c>
      <c r="AE155" s="37">
        <f t="shared" si="46"/>
        <v>0</v>
      </c>
      <c r="AF155" s="37">
        <f t="shared" si="46"/>
        <v>3800411.3</v>
      </c>
      <c r="AG155" s="37">
        <f t="shared" si="46"/>
        <v>3990432</v>
      </c>
      <c r="AH155" s="37">
        <f t="shared" si="46"/>
        <v>4189953</v>
      </c>
    </row>
    <row r="156" spans="1:34" ht="11.2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</row>
    <row r="157" spans="1:34" ht="11.25">
      <c r="A157" s="44" t="s">
        <v>168</v>
      </c>
      <c r="B157" s="37">
        <f>B133</f>
        <v>2477886</v>
      </c>
      <c r="C157" s="37">
        <f aca="true" t="shared" si="47" ref="C157:AB157">C133</f>
        <v>3228073.6</v>
      </c>
      <c r="D157" s="37">
        <f t="shared" si="47"/>
        <v>3088318.78</v>
      </c>
      <c r="E157" s="37">
        <f t="shared" si="47"/>
        <v>2936801</v>
      </c>
      <c r="F157" s="37">
        <f t="shared" si="47"/>
        <v>3098325.06</v>
      </c>
      <c r="G157" s="37">
        <f t="shared" si="47"/>
        <v>189840</v>
      </c>
      <c r="H157" s="37">
        <f t="shared" si="47"/>
        <v>0</v>
      </c>
      <c r="I157" s="37">
        <f t="shared" si="47"/>
        <v>198500</v>
      </c>
      <c r="J157" s="37">
        <f t="shared" si="47"/>
        <v>0</v>
      </c>
      <c r="K157" s="37">
        <f t="shared" si="47"/>
        <v>1143505</v>
      </c>
      <c r="L157" s="37">
        <f t="shared" si="47"/>
        <v>4468646</v>
      </c>
      <c r="M157" s="37">
        <f t="shared" si="47"/>
        <v>4714422</v>
      </c>
      <c r="N157" s="37">
        <f t="shared" si="47"/>
        <v>0</v>
      </c>
      <c r="O157" s="37">
        <f t="shared" si="47"/>
        <v>112450</v>
      </c>
      <c r="P157" s="37">
        <f t="shared" si="47"/>
        <v>0</v>
      </c>
      <c r="Q157" s="37">
        <f t="shared" si="47"/>
        <v>818165</v>
      </c>
      <c r="R157" s="37">
        <f t="shared" si="47"/>
        <v>0</v>
      </c>
      <c r="S157" s="37">
        <f t="shared" si="47"/>
        <v>0</v>
      </c>
      <c r="T157" s="37">
        <f t="shared" si="47"/>
        <v>0</v>
      </c>
      <c r="U157" s="37">
        <f t="shared" si="47"/>
        <v>0</v>
      </c>
      <c r="V157" s="37">
        <f t="shared" si="47"/>
        <v>155590</v>
      </c>
      <c r="W157" s="37">
        <f t="shared" si="47"/>
        <v>48300</v>
      </c>
      <c r="X157" s="37">
        <f t="shared" si="47"/>
        <v>9000</v>
      </c>
      <c r="Y157" s="37">
        <f t="shared" si="47"/>
        <v>0</v>
      </c>
      <c r="Z157" s="37">
        <f t="shared" si="47"/>
        <v>0</v>
      </c>
      <c r="AA157" s="37">
        <f t="shared" si="47"/>
        <v>0</v>
      </c>
      <c r="AB157" s="37">
        <f t="shared" si="47"/>
        <v>1143505</v>
      </c>
      <c r="AC157" s="37">
        <f aca="true" t="shared" si="48" ref="AC157:AH157">AC133</f>
        <v>0</v>
      </c>
      <c r="AD157" s="37">
        <f t="shared" si="48"/>
        <v>-1626103.2200000002</v>
      </c>
      <c r="AE157" s="37">
        <f t="shared" si="48"/>
        <v>0</v>
      </c>
      <c r="AF157" s="37">
        <f t="shared" si="48"/>
        <v>4714422</v>
      </c>
      <c r="AG157" s="37">
        <f t="shared" si="48"/>
        <v>4950143</v>
      </c>
      <c r="AH157" s="37">
        <f t="shared" si="48"/>
        <v>5197650</v>
      </c>
    </row>
    <row r="158" spans="2:34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</row>
    <row r="159" spans="1:34" ht="29.25" customHeight="1">
      <c r="A159" s="36" t="s">
        <v>8</v>
      </c>
      <c r="B159" s="45">
        <f>B135</f>
        <v>141154</v>
      </c>
      <c r="C159" s="45">
        <f aca="true" t="shared" si="49" ref="C159:AB159">C135</f>
        <v>148500</v>
      </c>
      <c r="D159" s="45">
        <f t="shared" si="49"/>
        <v>157260.01</v>
      </c>
      <c r="E159" s="45">
        <f t="shared" si="49"/>
        <v>0</v>
      </c>
      <c r="F159" s="45">
        <f t="shared" si="49"/>
        <v>0</v>
      </c>
      <c r="G159" s="45">
        <f t="shared" si="49"/>
        <v>30015</v>
      </c>
      <c r="H159" s="45">
        <f t="shared" si="49"/>
        <v>12790</v>
      </c>
      <c r="I159" s="45">
        <f t="shared" si="49"/>
        <v>0</v>
      </c>
      <c r="J159" s="45">
        <f t="shared" si="49"/>
        <v>0</v>
      </c>
      <c r="K159" s="45">
        <f t="shared" si="49"/>
        <v>111593.3</v>
      </c>
      <c r="L159" s="45">
        <f t="shared" si="49"/>
        <v>154398.3</v>
      </c>
      <c r="M159" s="45">
        <f t="shared" si="49"/>
        <v>162890</v>
      </c>
      <c r="N159" s="45">
        <f t="shared" si="49"/>
        <v>0</v>
      </c>
      <c r="O159" s="45">
        <f t="shared" si="49"/>
        <v>24544.3</v>
      </c>
      <c r="P159" s="45">
        <f t="shared" si="49"/>
        <v>14017</v>
      </c>
      <c r="Q159" s="45">
        <f t="shared" si="49"/>
        <v>56492</v>
      </c>
      <c r="R159" s="45">
        <f t="shared" si="49"/>
        <v>0</v>
      </c>
      <c r="S159" s="45">
        <f t="shared" si="49"/>
        <v>0</v>
      </c>
      <c r="T159" s="45">
        <f t="shared" si="49"/>
        <v>0</v>
      </c>
      <c r="U159" s="45">
        <f t="shared" si="49"/>
        <v>0</v>
      </c>
      <c r="V159" s="45">
        <f t="shared" si="49"/>
        <v>0</v>
      </c>
      <c r="W159" s="45">
        <f t="shared" si="49"/>
        <v>0</v>
      </c>
      <c r="X159" s="45">
        <f t="shared" si="49"/>
        <v>16540</v>
      </c>
      <c r="Y159" s="45">
        <f t="shared" si="49"/>
        <v>0</v>
      </c>
      <c r="Z159" s="45">
        <f t="shared" si="49"/>
        <v>0</v>
      </c>
      <c r="AA159" s="45">
        <f t="shared" si="49"/>
        <v>0</v>
      </c>
      <c r="AB159" s="45">
        <f t="shared" si="49"/>
        <v>111593.3</v>
      </c>
      <c r="AC159" s="45">
        <f aca="true" t="shared" si="50" ref="AC159:AH159">AC135</f>
        <v>0</v>
      </c>
      <c r="AD159" s="45">
        <f t="shared" si="50"/>
        <v>-5629.989999999991</v>
      </c>
      <c r="AE159" s="45">
        <f t="shared" si="50"/>
        <v>0</v>
      </c>
      <c r="AF159" s="45">
        <f t="shared" si="50"/>
        <v>162890</v>
      </c>
      <c r="AG159" s="45">
        <f t="shared" si="50"/>
        <v>171035</v>
      </c>
      <c r="AH159" s="45">
        <f t="shared" si="50"/>
        <v>179587</v>
      </c>
    </row>
    <row r="160" spans="2:34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1:34" ht="11.25">
      <c r="A161" s="36" t="s">
        <v>10</v>
      </c>
      <c r="B161" s="45">
        <f>B137</f>
        <v>0</v>
      </c>
      <c r="C161" s="45">
        <f aca="true" t="shared" si="51" ref="C161:AB161">C137</f>
        <v>74251</v>
      </c>
      <c r="D161" s="45">
        <f t="shared" si="51"/>
        <v>39167.4</v>
      </c>
      <c r="E161" s="45">
        <f t="shared" si="51"/>
        <v>0</v>
      </c>
      <c r="F161" s="45">
        <f t="shared" si="51"/>
        <v>0</v>
      </c>
      <c r="G161" s="45">
        <f t="shared" si="51"/>
        <v>75238.24</v>
      </c>
      <c r="H161" s="45">
        <f t="shared" si="51"/>
        <v>12956.4</v>
      </c>
      <c r="I161" s="45">
        <f t="shared" si="51"/>
        <v>0</v>
      </c>
      <c r="J161" s="45">
        <f t="shared" si="51"/>
        <v>0</v>
      </c>
      <c r="K161" s="45">
        <f t="shared" si="51"/>
        <v>0</v>
      </c>
      <c r="L161" s="45">
        <f t="shared" si="51"/>
        <v>88194.64</v>
      </c>
      <c r="M161" s="45">
        <f t="shared" si="51"/>
        <v>93045</v>
      </c>
      <c r="N161" s="45">
        <f t="shared" si="51"/>
        <v>0</v>
      </c>
      <c r="O161" s="45">
        <f t="shared" si="51"/>
        <v>0</v>
      </c>
      <c r="P161" s="45">
        <f t="shared" si="51"/>
        <v>0</v>
      </c>
      <c r="Q161" s="45">
        <f t="shared" si="51"/>
        <v>0</v>
      </c>
      <c r="R161" s="45">
        <f t="shared" si="51"/>
        <v>0</v>
      </c>
      <c r="S161" s="45">
        <f t="shared" si="51"/>
        <v>0</v>
      </c>
      <c r="T161" s="45">
        <f t="shared" si="51"/>
        <v>0</v>
      </c>
      <c r="U161" s="45">
        <f t="shared" si="51"/>
        <v>0</v>
      </c>
      <c r="V161" s="45">
        <f t="shared" si="51"/>
        <v>0</v>
      </c>
      <c r="W161" s="45">
        <f t="shared" si="51"/>
        <v>0</v>
      </c>
      <c r="X161" s="45">
        <f t="shared" si="51"/>
        <v>0</v>
      </c>
      <c r="Y161" s="45">
        <f t="shared" si="51"/>
        <v>0</v>
      </c>
      <c r="Z161" s="45">
        <f t="shared" si="51"/>
        <v>0</v>
      </c>
      <c r="AA161" s="45">
        <f t="shared" si="51"/>
        <v>0</v>
      </c>
      <c r="AB161" s="45">
        <f t="shared" si="51"/>
        <v>0</v>
      </c>
      <c r="AC161" s="45">
        <f aca="true" t="shared" si="52" ref="AC161:AH161">AC137</f>
        <v>0</v>
      </c>
      <c r="AD161" s="45">
        <f t="shared" si="52"/>
        <v>-53877.6</v>
      </c>
      <c r="AE161" s="45">
        <f t="shared" si="52"/>
        <v>0</v>
      </c>
      <c r="AF161" s="45">
        <f t="shared" si="52"/>
        <v>93045</v>
      </c>
      <c r="AG161" s="45">
        <f t="shared" si="52"/>
        <v>97697</v>
      </c>
      <c r="AH161" s="45">
        <f t="shared" si="52"/>
        <v>102582</v>
      </c>
    </row>
    <row r="162" spans="2:34" ht="11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1:34" ht="11.25">
      <c r="A163" s="36" t="s">
        <v>7</v>
      </c>
      <c r="B163" s="45">
        <f>B139</f>
        <v>84695</v>
      </c>
      <c r="C163" s="45">
        <f aca="true" t="shared" si="53" ref="C163:AB163">C139</f>
        <v>107800</v>
      </c>
      <c r="D163" s="45">
        <f t="shared" si="53"/>
        <v>98788.35</v>
      </c>
      <c r="E163" s="45">
        <f t="shared" si="53"/>
        <v>0</v>
      </c>
      <c r="F163" s="45">
        <f t="shared" si="53"/>
        <v>0</v>
      </c>
      <c r="G163" s="45">
        <f t="shared" si="53"/>
        <v>68296.8</v>
      </c>
      <c r="H163" s="45">
        <f t="shared" si="53"/>
        <v>14991</v>
      </c>
      <c r="I163" s="45">
        <f t="shared" si="53"/>
        <v>0</v>
      </c>
      <c r="J163" s="45">
        <f t="shared" si="53"/>
        <v>0</v>
      </c>
      <c r="K163" s="45">
        <f t="shared" si="53"/>
        <v>34846.5</v>
      </c>
      <c r="L163" s="45">
        <f t="shared" si="53"/>
        <v>118134.3</v>
      </c>
      <c r="M163" s="45">
        <f t="shared" si="53"/>
        <v>124632</v>
      </c>
      <c r="N163" s="45">
        <f t="shared" si="53"/>
        <v>0</v>
      </c>
      <c r="O163" s="45">
        <f t="shared" si="53"/>
        <v>25497.82</v>
      </c>
      <c r="P163" s="45">
        <f t="shared" si="53"/>
        <v>4177.88</v>
      </c>
      <c r="Q163" s="45">
        <f t="shared" si="53"/>
        <v>5170.8</v>
      </c>
      <c r="R163" s="45">
        <f t="shared" si="53"/>
        <v>0</v>
      </c>
      <c r="S163" s="45">
        <f t="shared" si="53"/>
        <v>0</v>
      </c>
      <c r="T163" s="45">
        <f t="shared" si="53"/>
        <v>0</v>
      </c>
      <c r="U163" s="45">
        <f t="shared" si="53"/>
        <v>0</v>
      </c>
      <c r="V163" s="45">
        <f t="shared" si="53"/>
        <v>0</v>
      </c>
      <c r="W163" s="45">
        <f t="shared" si="53"/>
        <v>0</v>
      </c>
      <c r="X163" s="45">
        <f t="shared" si="53"/>
        <v>0</v>
      </c>
      <c r="Y163" s="45">
        <f t="shared" si="53"/>
        <v>0</v>
      </c>
      <c r="Z163" s="45">
        <f t="shared" si="53"/>
        <v>0</v>
      </c>
      <c r="AA163" s="45">
        <f t="shared" si="53"/>
        <v>0</v>
      </c>
      <c r="AB163" s="45">
        <f t="shared" si="53"/>
        <v>34846.5</v>
      </c>
      <c r="AC163" s="45">
        <f aca="true" t="shared" si="54" ref="AC163:AH163">AC139</f>
        <v>0</v>
      </c>
      <c r="AD163" s="45">
        <f t="shared" si="54"/>
        <v>-25843.649999999994</v>
      </c>
      <c r="AE163" s="45">
        <f t="shared" si="54"/>
        <v>0</v>
      </c>
      <c r="AF163" s="45">
        <f t="shared" si="54"/>
        <v>124632</v>
      </c>
      <c r="AG163" s="45">
        <f t="shared" si="54"/>
        <v>130864</v>
      </c>
      <c r="AH163" s="45">
        <f t="shared" si="54"/>
        <v>137407</v>
      </c>
    </row>
    <row r="164" spans="2:34" ht="11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</row>
    <row r="165" spans="1:34" ht="11.25">
      <c r="A165" s="44" t="s">
        <v>169</v>
      </c>
      <c r="B165" s="45">
        <f>B141+B147+B153+B155+B157+B159+B161+B163</f>
        <v>45898633.23</v>
      </c>
      <c r="C165" s="45">
        <f aca="true" t="shared" si="55" ref="C165:AB165">C141+C147+C153+C155+C157+C159+C161+C163</f>
        <v>48303578.54000001</v>
      </c>
      <c r="D165" s="45">
        <f t="shared" si="55"/>
        <v>51138925.05</v>
      </c>
      <c r="E165" s="45" t="e">
        <f t="shared" si="55"/>
        <v>#REF!</v>
      </c>
      <c r="F165" s="45" t="e">
        <f t="shared" si="55"/>
        <v>#REF!</v>
      </c>
      <c r="G165" s="45">
        <f t="shared" si="55"/>
        <v>2287381.96</v>
      </c>
      <c r="H165" s="45">
        <f t="shared" si="55"/>
        <v>358272.4</v>
      </c>
      <c r="I165" s="45">
        <f t="shared" si="55"/>
        <v>345900.15</v>
      </c>
      <c r="J165" s="45">
        <f t="shared" si="55"/>
        <v>0</v>
      </c>
      <c r="K165" s="45">
        <f t="shared" si="55"/>
        <v>2828286.34</v>
      </c>
      <c r="L165" s="45" t="e">
        <f t="shared" si="55"/>
        <v>#REF!</v>
      </c>
      <c r="M165" s="45" t="e">
        <f t="shared" si="55"/>
        <v>#REF!</v>
      </c>
      <c r="N165" s="45">
        <f t="shared" si="55"/>
        <v>153014</v>
      </c>
      <c r="O165" s="45">
        <f t="shared" si="55"/>
        <v>326882.65</v>
      </c>
      <c r="P165" s="45">
        <f t="shared" si="55"/>
        <v>148792.36000000002</v>
      </c>
      <c r="Q165" s="45">
        <f t="shared" si="55"/>
        <v>1139254.3</v>
      </c>
      <c r="R165" s="45">
        <f t="shared" si="55"/>
        <v>0</v>
      </c>
      <c r="S165" s="45">
        <f t="shared" si="55"/>
        <v>0</v>
      </c>
      <c r="T165" s="45">
        <f t="shared" si="55"/>
        <v>3583.5</v>
      </c>
      <c r="U165" s="45">
        <f t="shared" si="55"/>
        <v>6499.46</v>
      </c>
      <c r="V165" s="45">
        <f t="shared" si="55"/>
        <v>222598</v>
      </c>
      <c r="W165" s="45">
        <f t="shared" si="55"/>
        <v>48300</v>
      </c>
      <c r="X165" s="45">
        <f t="shared" si="55"/>
        <v>74229.62</v>
      </c>
      <c r="Y165" s="45">
        <f t="shared" si="55"/>
        <v>105132.45</v>
      </c>
      <c r="Z165" s="45">
        <f t="shared" si="55"/>
        <v>300000</v>
      </c>
      <c r="AA165" s="45">
        <f t="shared" si="55"/>
        <v>300000</v>
      </c>
      <c r="AB165" s="45">
        <f t="shared" si="55"/>
        <v>2828286.34</v>
      </c>
      <c r="AC165" s="45">
        <f aca="true" t="shared" si="56" ref="AC165:AH165">AC141+AC147+AC153+AC155+AC157+AC159+AC161+AC163</f>
        <v>0</v>
      </c>
      <c r="AD165" s="45" t="e">
        <f t="shared" si="56"/>
        <v>#REF!</v>
      </c>
      <c r="AE165" s="45">
        <f t="shared" si="56"/>
        <v>1957864</v>
      </c>
      <c r="AF165" s="45" t="e">
        <f t="shared" si="56"/>
        <v>#REF!</v>
      </c>
      <c r="AG165" s="45" t="e">
        <f t="shared" si="56"/>
        <v>#REF!</v>
      </c>
      <c r="AH165" s="45" t="e">
        <f t="shared" si="56"/>
        <v>#REF!</v>
      </c>
    </row>
    <row r="166" ht="11.25"/>
    <row r="167" spans="8:28" ht="11.25">
      <c r="H167" s="46"/>
      <c r="J167" s="47"/>
      <c r="V167" s="7"/>
      <c r="AB167" s="49" t="s">
        <v>182</v>
      </c>
    </row>
    <row r="168" spans="8:28" ht="11.25">
      <c r="H168" s="46"/>
      <c r="J168" s="50"/>
      <c r="V168" s="7"/>
      <c r="AB168" s="51"/>
    </row>
    <row r="169" spans="6:28" ht="11.25">
      <c r="F169" s="52"/>
      <c r="G169" s="52"/>
      <c r="H169" s="52"/>
      <c r="I169" s="52"/>
      <c r="J169" s="52"/>
      <c r="K169" s="52"/>
      <c r="V169" s="7"/>
      <c r="AB169" s="51"/>
    </row>
    <row r="170" spans="6:28" ht="11.25">
      <c r="F170" s="4"/>
      <c r="V170" s="7"/>
      <c r="AB170" s="51" t="s">
        <v>18</v>
      </c>
    </row>
    <row r="171" spans="6:28" ht="11.25">
      <c r="F171" s="4"/>
      <c r="V171" s="7"/>
      <c r="AB171" s="51" t="s">
        <v>181</v>
      </c>
    </row>
    <row r="326" ht="11.25"/>
    <row r="327" ht="11.25"/>
    <row r="328" ht="11.25"/>
    <row r="329" ht="11.25"/>
  </sheetData>
  <sheetProtection/>
  <mergeCells count="36">
    <mergeCell ref="S3:S4"/>
    <mergeCell ref="AC3:AC4"/>
    <mergeCell ref="U3:U4"/>
    <mergeCell ref="V3:V4"/>
    <mergeCell ref="Y3:Y4"/>
    <mergeCell ref="Z3:Z4"/>
    <mergeCell ref="W3:W4"/>
    <mergeCell ref="AB2:AB4"/>
    <mergeCell ref="AA3:AA4"/>
    <mergeCell ref="A3:A4"/>
    <mergeCell ref="B3:B4"/>
    <mergeCell ref="C3:C4"/>
    <mergeCell ref="D3:D4"/>
    <mergeCell ref="P3:P4"/>
    <mergeCell ref="R3:R4"/>
    <mergeCell ref="Q3:Q4"/>
    <mergeCell ref="AD2:AD4"/>
    <mergeCell ref="E3:E4"/>
    <mergeCell ref="F3:F4"/>
    <mergeCell ref="L3:L4"/>
    <mergeCell ref="M3:M4"/>
    <mergeCell ref="N3:N4"/>
    <mergeCell ref="O3:O4"/>
    <mergeCell ref="T3:T4"/>
    <mergeCell ref="B2:K2"/>
    <mergeCell ref="N2:AA2"/>
    <mergeCell ref="AF3:AF4"/>
    <mergeCell ref="AG3:AG4"/>
    <mergeCell ref="AH3:AH4"/>
    <mergeCell ref="G3:G4"/>
    <mergeCell ref="H3:H4"/>
    <mergeCell ref="I3:I4"/>
    <mergeCell ref="J3:J4"/>
    <mergeCell ref="K3:K4"/>
    <mergeCell ref="AE3:AE4"/>
    <mergeCell ref="X3:X4"/>
  </mergeCells>
  <printOptions/>
  <pageMargins left="0.26" right="0.16" top="0.32" bottom="0.17" header="0.31496062992125984" footer="0.31496062992125984"/>
  <pageSetup horizontalDpi="600" verticalDpi="600" orientation="landscape" paperSize="9" scale="80" r:id="rId3"/>
  <colBreaks count="1" manualBreakCount="1">
    <brk id="13" max="1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2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13.7109375" style="0" customWidth="1"/>
    <col min="2" max="2" width="9.28125" style="0" customWidth="1"/>
    <col min="3" max="3" width="12.7109375" style="0" customWidth="1"/>
    <col min="4" max="4" width="4.7109375" style="0" customWidth="1"/>
    <col min="5" max="5" width="1.7109375" style="0" customWidth="1"/>
    <col min="6" max="6" width="10.28125" style="0" customWidth="1"/>
    <col min="7" max="7" width="8.8515625" style="0" customWidth="1"/>
    <col min="8" max="8" width="6.7109375" style="0" customWidth="1"/>
    <col min="9" max="9" width="4.7109375" style="0" customWidth="1"/>
    <col min="10" max="10" width="6.28125" style="0" customWidth="1"/>
    <col min="11" max="11" width="4.28125" style="0" customWidth="1"/>
    <col min="12" max="12" width="13.00390625" style="0" customWidth="1"/>
    <col min="13" max="13" width="6.00390625" style="0" customWidth="1"/>
    <col min="14" max="14" width="6.57421875" style="0" customWidth="1"/>
    <col min="15" max="15" width="13.7109375" style="0" customWidth="1"/>
    <col min="16" max="16" width="14.7109375" style="0" customWidth="1"/>
    <col min="17" max="17" width="3.140625" style="0" customWidth="1"/>
    <col min="18" max="18" width="14.140625" style="0" customWidth="1"/>
    <col min="19" max="20" width="10.57421875" style="0" bestFit="1" customWidth="1"/>
    <col min="21" max="21" width="11.28125" style="0" customWidth="1"/>
    <col min="22" max="22" width="14.7109375" style="0" customWidth="1"/>
  </cols>
  <sheetData>
    <row r="1" spans="1:16" ht="52.5" customHeight="1">
      <c r="A1" s="171" t="s">
        <v>317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1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5">
      <c r="A3" s="172" t="s">
        <v>185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5">
      <c r="A4" s="165" t="s">
        <v>186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5">
      <c r="A5" s="166" t="s">
        <v>187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6:22" ht="15">
      <c r="P6" s="56" t="s">
        <v>188</v>
      </c>
      <c r="S6">
        <v>117734</v>
      </c>
      <c r="T6">
        <v>125720.52</v>
      </c>
      <c r="U6">
        <v>128088.98999999999</v>
      </c>
      <c r="V6">
        <v>128088.98999999999</v>
      </c>
    </row>
    <row r="7" spans="15:19" ht="15.75">
      <c r="O7" s="57"/>
      <c r="P7" s="105">
        <f>ROUND(O8+O9+O10+O11,0)</f>
        <v>1472693</v>
      </c>
      <c r="R7">
        <v>1472693</v>
      </c>
      <c r="S7" s="92">
        <f>R7-P7</f>
        <v>0</v>
      </c>
    </row>
    <row r="8" spans="1:16" ht="15">
      <c r="A8" s="58"/>
      <c r="B8" s="58"/>
      <c r="C8" s="58">
        <v>117734</v>
      </c>
      <c r="D8" s="58"/>
      <c r="E8" s="58"/>
      <c r="F8" s="58"/>
      <c r="G8" s="58" t="s">
        <v>189</v>
      </c>
      <c r="H8" s="58">
        <v>6</v>
      </c>
      <c r="I8" s="58"/>
      <c r="J8" s="58" t="s">
        <v>190</v>
      </c>
      <c r="K8" s="58"/>
      <c r="L8" s="58"/>
      <c r="M8" s="58"/>
      <c r="N8" s="58" t="s">
        <v>191</v>
      </c>
      <c r="O8" s="59">
        <f>C8*H8</f>
        <v>706404</v>
      </c>
      <c r="P8" s="58"/>
    </row>
    <row r="9" spans="1:16" ht="15">
      <c r="A9" s="58"/>
      <c r="B9" s="58"/>
      <c r="C9" s="58">
        <v>125720.52</v>
      </c>
      <c r="D9" s="58"/>
      <c r="E9" s="58"/>
      <c r="F9" s="58"/>
      <c r="G9" s="58" t="s">
        <v>189</v>
      </c>
      <c r="H9" s="58">
        <v>2</v>
      </c>
      <c r="I9" s="58"/>
      <c r="J9" s="58" t="s">
        <v>190</v>
      </c>
      <c r="K9" s="58"/>
      <c r="L9" s="58"/>
      <c r="M9" s="58"/>
      <c r="N9" s="58"/>
      <c r="O9" s="59">
        <f>C9*H9</f>
        <v>251441.04</v>
      </c>
      <c r="P9" s="58"/>
    </row>
    <row r="10" spans="1:19" ht="15">
      <c r="A10" s="58"/>
      <c r="B10" s="58"/>
      <c r="C10" s="58">
        <v>128088.99</v>
      </c>
      <c r="D10" s="58"/>
      <c r="E10" s="58"/>
      <c r="F10" s="58"/>
      <c r="G10" s="58" t="s">
        <v>189</v>
      </c>
      <c r="H10" s="58">
        <v>3</v>
      </c>
      <c r="I10" s="58"/>
      <c r="J10" s="58" t="s">
        <v>190</v>
      </c>
      <c r="K10" s="58"/>
      <c r="L10" s="58"/>
      <c r="M10" s="58"/>
      <c r="N10" s="58"/>
      <c r="O10" s="59">
        <f>C10*H10</f>
        <v>384266.97000000003</v>
      </c>
      <c r="P10" s="58"/>
      <c r="S10">
        <v>130580.98999999999</v>
      </c>
    </row>
    <row r="11" spans="1:16" ht="15">
      <c r="A11" s="58"/>
      <c r="B11" s="58"/>
      <c r="C11" s="58">
        <v>130580.98999999999</v>
      </c>
      <c r="D11" s="58"/>
      <c r="E11" s="58"/>
      <c r="F11" s="58"/>
      <c r="G11" s="58" t="s">
        <v>189</v>
      </c>
      <c r="H11" s="58">
        <v>1</v>
      </c>
      <c r="I11" s="58"/>
      <c r="J11" s="58" t="s">
        <v>190</v>
      </c>
      <c r="K11" s="58"/>
      <c r="L11" s="58"/>
      <c r="M11" s="58"/>
      <c r="N11" s="58"/>
      <c r="O11" s="59">
        <f>C11*H11</f>
        <v>130580.98999999999</v>
      </c>
      <c r="P11" s="58"/>
    </row>
    <row r="12" spans="1:16" ht="15.75">
      <c r="A12" s="60" t="s">
        <v>192</v>
      </c>
      <c r="B12" s="60"/>
      <c r="C12" s="60">
        <v>113629</v>
      </c>
      <c r="D12" s="60"/>
      <c r="E12" s="60"/>
      <c r="F12" s="60"/>
      <c r="G12" s="60" t="s">
        <v>189</v>
      </c>
      <c r="H12" s="60">
        <v>12</v>
      </c>
      <c r="I12" s="60"/>
      <c r="J12" s="60" t="s">
        <v>190</v>
      </c>
      <c r="K12" s="60" t="s">
        <v>189</v>
      </c>
      <c r="L12" s="60"/>
      <c r="M12" s="60"/>
      <c r="N12" s="60" t="s">
        <v>191</v>
      </c>
      <c r="O12" s="60">
        <f>C12*H12</f>
        <v>1363548</v>
      </c>
      <c r="P12" s="58"/>
    </row>
    <row r="13" spans="1:16" ht="15">
      <c r="A13" s="58"/>
      <c r="B13" s="58"/>
      <c r="C13" s="58"/>
      <c r="D13" s="58"/>
      <c r="E13" s="58"/>
      <c r="F13" s="58"/>
      <c r="G13" s="58" t="s">
        <v>189</v>
      </c>
      <c r="H13" s="58"/>
      <c r="I13" s="58"/>
      <c r="J13" s="58" t="s">
        <v>190</v>
      </c>
      <c r="K13" s="58"/>
      <c r="L13" s="58"/>
      <c r="M13" s="58"/>
      <c r="N13" s="58" t="s">
        <v>191</v>
      </c>
      <c r="O13" s="58">
        <v>0</v>
      </c>
      <c r="P13" s="58"/>
    </row>
    <row r="14" spans="1:16" ht="15">
      <c r="A14" s="58"/>
      <c r="B14" s="58"/>
      <c r="C14" s="58"/>
      <c r="D14" s="58"/>
      <c r="E14" s="58"/>
      <c r="F14" s="58"/>
      <c r="G14" s="58" t="s">
        <v>189</v>
      </c>
      <c r="H14" s="58"/>
      <c r="I14" s="58"/>
      <c r="J14" s="58" t="s">
        <v>190</v>
      </c>
      <c r="K14" s="58"/>
      <c r="L14" s="58"/>
      <c r="M14" s="58"/>
      <c r="N14" s="58" t="s">
        <v>191</v>
      </c>
      <c r="O14" s="58">
        <v>0</v>
      </c>
      <c r="P14" s="58"/>
    </row>
    <row r="15" spans="1:16" ht="15">
      <c r="A15" s="58" t="s">
        <v>193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5">
      <c r="A16" s="165" t="s">
        <v>194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5">
      <c r="A17" s="165" t="s">
        <v>195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5">
      <c r="A18" s="166" t="s">
        <v>187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ht="15">
      <c r="P19" s="56" t="s">
        <v>188</v>
      </c>
    </row>
    <row r="20" ht="15.75">
      <c r="P20" s="105">
        <f>O21</f>
        <v>1800</v>
      </c>
    </row>
    <row r="21" spans="1:16" ht="39.75" customHeight="1">
      <c r="A21" s="173" t="s">
        <v>196</v>
      </c>
      <c r="B21" s="173"/>
      <c r="C21" s="58">
        <v>3</v>
      </c>
      <c r="D21" s="58"/>
      <c r="E21" s="58"/>
      <c r="F21" s="58" t="s">
        <v>197</v>
      </c>
      <c r="G21" s="58" t="s">
        <v>189</v>
      </c>
      <c r="H21" s="58">
        <v>50</v>
      </c>
      <c r="I21" s="58"/>
      <c r="J21" s="58" t="s">
        <v>188</v>
      </c>
      <c r="K21" s="58" t="s">
        <v>189</v>
      </c>
      <c r="L21" s="58">
        <v>12</v>
      </c>
      <c r="M21" s="58" t="s">
        <v>190</v>
      </c>
      <c r="N21" s="58" t="s">
        <v>191</v>
      </c>
      <c r="O21" s="58">
        <f>C21*H21*L21</f>
        <v>1800</v>
      </c>
      <c r="P21" s="58"/>
    </row>
    <row r="22" spans="1:16" ht="15">
      <c r="A22" s="58"/>
      <c r="B22" s="58"/>
      <c r="C22" s="58"/>
      <c r="D22" s="58"/>
      <c r="E22" s="58"/>
      <c r="F22" s="58" t="s">
        <v>197</v>
      </c>
      <c r="G22" s="58"/>
      <c r="H22" s="58">
        <v>50</v>
      </c>
      <c r="I22" s="58"/>
      <c r="J22" s="58" t="s">
        <v>188</v>
      </c>
      <c r="K22" s="58"/>
      <c r="L22" s="58">
        <v>9</v>
      </c>
      <c r="M22" s="58" t="s">
        <v>190</v>
      </c>
      <c r="N22" s="58"/>
      <c r="O22" s="58">
        <f>C22*H22*L22</f>
        <v>0</v>
      </c>
      <c r="P22" s="58"/>
    </row>
    <row r="23" spans="1:16" ht="15">
      <c r="A23" s="58"/>
      <c r="B23" s="58"/>
      <c r="C23" s="58"/>
      <c r="D23" s="58"/>
      <c r="E23" s="58"/>
      <c r="F23" s="58" t="s">
        <v>197</v>
      </c>
      <c r="G23" s="58" t="s">
        <v>189</v>
      </c>
      <c r="H23" s="58"/>
      <c r="I23" s="58"/>
      <c r="J23" s="58" t="s">
        <v>188</v>
      </c>
      <c r="K23" s="58" t="s">
        <v>189</v>
      </c>
      <c r="L23" s="58"/>
      <c r="M23" s="58" t="s">
        <v>190</v>
      </c>
      <c r="N23" s="58" t="s">
        <v>191</v>
      </c>
      <c r="O23" s="58">
        <v>0</v>
      </c>
      <c r="P23" s="58"/>
    </row>
    <row r="24" spans="1:16" ht="15">
      <c r="A24" s="58"/>
      <c r="B24" s="58"/>
      <c r="C24" s="58"/>
      <c r="D24" s="58"/>
      <c r="E24" s="58"/>
      <c r="F24" s="58" t="s">
        <v>197</v>
      </c>
      <c r="G24" s="58" t="s">
        <v>189</v>
      </c>
      <c r="H24" s="58"/>
      <c r="I24" s="58"/>
      <c r="J24" s="58" t="s">
        <v>188</v>
      </c>
      <c r="K24" s="58" t="s">
        <v>189</v>
      </c>
      <c r="L24" s="58"/>
      <c r="M24" s="58" t="s">
        <v>190</v>
      </c>
      <c r="N24" s="58" t="s">
        <v>191</v>
      </c>
      <c r="O24" s="58">
        <v>0</v>
      </c>
      <c r="P24" s="58"/>
    </row>
    <row r="25" spans="1:16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ht="15">
      <c r="A26" s="165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15">
      <c r="A27" s="165" t="s">
        <v>199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15">
      <c r="A28" s="166" t="s">
        <v>187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ht="15">
      <c r="P29" s="56" t="s">
        <v>188</v>
      </c>
    </row>
    <row r="30" ht="15.75">
      <c r="P30" s="105">
        <f>ROUND(F31,0)</f>
        <v>444754</v>
      </c>
    </row>
    <row r="31" spans="1:16" ht="15">
      <c r="A31" s="61"/>
      <c r="B31" s="62">
        <v>0.302</v>
      </c>
      <c r="C31" s="63"/>
      <c r="D31" s="63" t="s">
        <v>200</v>
      </c>
      <c r="E31" s="63"/>
      <c r="F31" s="63">
        <f>P7*B31+1</f>
        <v>444754.28599999996</v>
      </c>
      <c r="G31" s="63"/>
      <c r="H31" s="63"/>
      <c r="I31" s="63"/>
      <c r="J31" s="63"/>
      <c r="K31" s="63"/>
      <c r="L31" s="63"/>
      <c r="M31" s="63"/>
      <c r="N31" s="63"/>
      <c r="O31" s="64"/>
      <c r="P31" s="65"/>
    </row>
    <row r="32" spans="1:16" ht="15.75">
      <c r="A32" s="66" t="s">
        <v>201</v>
      </c>
      <c r="B32" s="67"/>
      <c r="C32" s="67"/>
      <c r="D32" s="67"/>
      <c r="E32" s="67"/>
      <c r="F32" s="68">
        <v>411791.5</v>
      </c>
      <c r="G32" s="67"/>
      <c r="H32" s="67"/>
      <c r="I32" s="67"/>
      <c r="J32" s="67"/>
      <c r="K32" s="67"/>
      <c r="L32" s="67"/>
      <c r="M32" s="67"/>
      <c r="N32" s="67"/>
      <c r="O32" s="69"/>
      <c r="P32" s="58"/>
    </row>
    <row r="33" spans="1:16" ht="12" customHeight="1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58"/>
    </row>
    <row r="34" spans="1:16" ht="15" hidden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57"/>
      <c r="P34" s="58"/>
    </row>
    <row r="35" spans="1:16" ht="15" hidden="1">
      <c r="A35" s="6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58"/>
    </row>
    <row r="36" spans="1:16" ht="15" hidden="1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58"/>
    </row>
    <row r="37" spans="1:16" ht="15">
      <c r="A37" s="165" t="s">
        <v>202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">
      <c r="A38" s="165" t="s">
        <v>203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">
      <c r="A39" s="166" t="s">
        <v>187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ht="15">
      <c r="P40" s="56" t="s">
        <v>188</v>
      </c>
    </row>
    <row r="41" spans="16:18" ht="15.75">
      <c r="P41" s="105">
        <f>O43+O47+O44</f>
        <v>37383.169999897196</v>
      </c>
      <c r="R41" s="72">
        <f>O43+O44+O47</f>
        <v>37383.169999897196</v>
      </c>
    </row>
    <row r="42" spans="1:16" s="74" customFormat="1" ht="12.75">
      <c r="A42" s="148" t="s">
        <v>268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50"/>
      <c r="P42" s="73"/>
    </row>
    <row r="43" spans="1:16" ht="15">
      <c r="A43" s="58"/>
      <c r="B43" s="58"/>
      <c r="C43" s="58">
        <v>3</v>
      </c>
      <c r="D43" s="58"/>
      <c r="E43" s="58"/>
      <c r="F43" s="58" t="s">
        <v>204</v>
      </c>
      <c r="G43" s="58" t="s">
        <v>189</v>
      </c>
      <c r="H43" s="58">
        <v>247.8</v>
      </c>
      <c r="I43" s="58" t="s">
        <v>188</v>
      </c>
      <c r="J43" s="58"/>
      <c r="K43" s="58" t="s">
        <v>189</v>
      </c>
      <c r="L43" s="58">
        <v>12</v>
      </c>
      <c r="M43" s="58" t="s">
        <v>190</v>
      </c>
      <c r="N43" s="58" t="s">
        <v>191</v>
      </c>
      <c r="O43" s="75">
        <f>ROUND(C43*H43*L43,2)</f>
        <v>8920.8</v>
      </c>
      <c r="P43" s="58"/>
    </row>
    <row r="44" spans="1:16" ht="15">
      <c r="A44" s="58" t="s">
        <v>205</v>
      </c>
      <c r="B44" s="58"/>
      <c r="C44" s="58">
        <v>620.35</v>
      </c>
      <c r="D44" s="58"/>
      <c r="E44" s="58"/>
      <c r="F44" s="58" t="s">
        <v>249</v>
      </c>
      <c r="G44" s="58"/>
      <c r="H44" s="58"/>
      <c r="I44" s="58"/>
      <c r="J44" s="58"/>
      <c r="K44" s="58"/>
      <c r="L44" s="58">
        <v>12</v>
      </c>
      <c r="M44" s="58" t="s">
        <v>190</v>
      </c>
      <c r="N44" s="58"/>
      <c r="O44" s="58">
        <f>C44*L44</f>
        <v>7444.200000000001</v>
      </c>
      <c r="P44" s="58"/>
    </row>
    <row r="45" spans="1:16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ht="15">
      <c r="A46" s="148" t="s">
        <v>269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50"/>
      <c r="P46" s="58"/>
    </row>
    <row r="47" spans="1:16" ht="15">
      <c r="A47" s="58"/>
      <c r="B47" s="58"/>
      <c r="C47" s="75">
        <v>3072.83187133</v>
      </c>
      <c r="D47" s="58"/>
      <c r="E47" s="58"/>
      <c r="F47" s="58" t="s">
        <v>206</v>
      </c>
      <c r="G47" s="58" t="s">
        <v>189</v>
      </c>
      <c r="H47" s="58">
        <v>0.57</v>
      </c>
      <c r="I47" s="58" t="s">
        <v>188</v>
      </c>
      <c r="J47" s="58"/>
      <c r="K47" s="58" t="s">
        <v>189</v>
      </c>
      <c r="L47" s="58">
        <v>12</v>
      </c>
      <c r="M47" s="58" t="s">
        <v>190</v>
      </c>
      <c r="N47" s="58" t="s">
        <v>191</v>
      </c>
      <c r="O47" s="75">
        <f>C47*H47*12</f>
        <v>21018.169999897196</v>
      </c>
      <c r="P47" s="58"/>
    </row>
    <row r="48" spans="1:16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15">
      <c r="A49" s="165" t="s">
        <v>207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15">
      <c r="A50" s="165" t="s">
        <v>208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ht="15">
      <c r="A51" s="166" t="s">
        <v>187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2" ht="15">
      <c r="P52" s="56" t="s">
        <v>188</v>
      </c>
    </row>
    <row r="53" spans="16:21" ht="15.75">
      <c r="P53" s="105">
        <f>ROUND(P55+P61+P70,2)</f>
        <v>5349701.35</v>
      </c>
      <c r="R53" s="72" t="e">
        <f>O56+O57+#REF!+#REF!+O63+O66+O72+O77+#REF!</f>
        <v>#REF!</v>
      </c>
      <c r="T53" s="72" t="e">
        <f>P55+P61+P70+#REF!</f>
        <v>#REF!</v>
      </c>
      <c r="U53">
        <v>4141092</v>
      </c>
    </row>
    <row r="54" spans="1:16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65"/>
    </row>
    <row r="55" spans="1:21" s="74" customFormat="1" ht="12.75">
      <c r="A55" s="73" t="s">
        <v>270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6">
        <f>O56+O57</f>
        <v>2531516.24</v>
      </c>
      <c r="U55" s="74">
        <v>1587874.3</v>
      </c>
    </row>
    <row r="56" spans="1:19" ht="15">
      <c r="A56" s="58" t="s">
        <v>209</v>
      </c>
      <c r="B56" s="58"/>
      <c r="C56" s="58"/>
      <c r="D56" s="58"/>
      <c r="E56" s="58"/>
      <c r="F56" s="58"/>
      <c r="G56" s="58">
        <v>1648.08</v>
      </c>
      <c r="H56" s="58"/>
      <c r="I56" s="58"/>
      <c r="J56" s="58" t="s">
        <v>188</v>
      </c>
      <c r="K56" s="58" t="s">
        <v>189</v>
      </c>
      <c r="L56" s="58">
        <v>1242.11053</v>
      </c>
      <c r="M56" s="58" t="s">
        <v>210</v>
      </c>
      <c r="N56" s="58" t="s">
        <v>191</v>
      </c>
      <c r="O56" s="75">
        <f>ROUND(G56*L56,0)-0.47</f>
        <v>2047097.53</v>
      </c>
      <c r="P56" s="65"/>
      <c r="S56" s="72">
        <f>G56*L56</f>
        <v>2047097.5222823997</v>
      </c>
    </row>
    <row r="57" spans="1:19" ht="15">
      <c r="A57" s="58"/>
      <c r="B57" s="58"/>
      <c r="C57" s="58"/>
      <c r="D57" s="58"/>
      <c r="E57" s="58"/>
      <c r="F57" s="58"/>
      <c r="G57" s="58">
        <v>1648.08</v>
      </c>
      <c r="H57" s="58"/>
      <c r="I57" s="58"/>
      <c r="J57" s="58" t="s">
        <v>188</v>
      </c>
      <c r="K57" s="58" t="s">
        <v>189</v>
      </c>
      <c r="L57" s="58">
        <v>293.9291</v>
      </c>
      <c r="M57" s="58" t="s">
        <v>211</v>
      </c>
      <c r="N57" s="58" t="s">
        <v>191</v>
      </c>
      <c r="O57" s="75">
        <f>ROUND(G57*L57,2)+0.04</f>
        <v>484418.70999999996</v>
      </c>
      <c r="P57" s="65"/>
      <c r="S57" s="72">
        <f>G57*L57</f>
        <v>484418.671128</v>
      </c>
    </row>
    <row r="58" spans="1:16" ht="0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75"/>
      <c r="P58" s="65"/>
    </row>
    <row r="59" spans="1:16" ht="15.75">
      <c r="A59" s="60" t="s">
        <v>212</v>
      </c>
      <c r="B59" s="77"/>
      <c r="C59" s="77"/>
      <c r="D59" s="77"/>
      <c r="E59" s="77"/>
      <c r="F59" s="77"/>
      <c r="G59" s="77">
        <v>1482.5</v>
      </c>
      <c r="H59" s="77"/>
      <c r="I59" s="77"/>
      <c r="J59" s="58" t="s">
        <v>188</v>
      </c>
      <c r="K59" s="77" t="s">
        <v>189</v>
      </c>
      <c r="L59" s="77">
        <v>151.1138887</v>
      </c>
      <c r="M59" s="58" t="s">
        <v>210</v>
      </c>
      <c r="N59" s="77"/>
      <c r="O59" s="78">
        <f>G59*L59</f>
        <v>224026.33999774998</v>
      </c>
      <c r="P59" s="65"/>
    </row>
    <row r="60" spans="1:21" ht="15.75">
      <c r="A60" s="60"/>
      <c r="B60" s="77"/>
      <c r="C60" s="77"/>
      <c r="D60" s="77"/>
      <c r="E60" s="77"/>
      <c r="F60" s="77"/>
      <c r="G60" s="77"/>
      <c r="H60" s="77"/>
      <c r="I60" s="77"/>
      <c r="J60" s="58"/>
      <c r="K60" s="77"/>
      <c r="L60" s="77"/>
      <c r="M60" s="77"/>
      <c r="N60" s="77"/>
      <c r="O60" s="78"/>
      <c r="P60" s="65"/>
      <c r="U60" s="72">
        <f>O59+O60+O67+O75+O79</f>
        <v>398219.98986195</v>
      </c>
    </row>
    <row r="61" spans="1:16" s="74" customFormat="1" ht="12.75">
      <c r="A61" s="73" t="s">
        <v>253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9">
        <f>O63+O66</f>
        <v>2335360.43</v>
      </c>
    </row>
    <row r="62" spans="1:16" ht="15">
      <c r="A62" s="58" t="s">
        <v>213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65"/>
    </row>
    <row r="63" spans="1:19" ht="15">
      <c r="A63" s="58"/>
      <c r="B63" s="58"/>
      <c r="C63" s="58"/>
      <c r="D63" s="58"/>
      <c r="E63" s="58"/>
      <c r="F63" s="58"/>
      <c r="G63" s="58"/>
      <c r="H63" s="58">
        <v>6.18</v>
      </c>
      <c r="I63" s="58"/>
      <c r="J63" s="58" t="s">
        <v>188</v>
      </c>
      <c r="K63" s="58" t="s">
        <v>189</v>
      </c>
      <c r="L63" s="80">
        <v>377890.0372</v>
      </c>
      <c r="M63" s="58" t="s">
        <v>214</v>
      </c>
      <c r="N63" s="58" t="s">
        <v>191</v>
      </c>
      <c r="O63" s="75">
        <f>ROUND(H63*L63,2)</f>
        <v>2335360.43</v>
      </c>
      <c r="P63" s="65"/>
      <c r="S63" s="72">
        <f>H63*L63</f>
        <v>2335360.429896</v>
      </c>
    </row>
    <row r="64" spans="1:16" s="74" customFormat="1" ht="0.75" customHeight="1">
      <c r="A64" s="73" t="s">
        <v>215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81"/>
    </row>
    <row r="65" spans="1:16" ht="15" hidden="1">
      <c r="A65" s="58" t="s">
        <v>213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65"/>
    </row>
    <row r="66" spans="1:19" ht="15">
      <c r="A66" s="58" t="s">
        <v>213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65"/>
      <c r="S66">
        <f>O66</f>
        <v>0</v>
      </c>
    </row>
    <row r="67" spans="1:16" ht="15.75">
      <c r="A67" s="60" t="s">
        <v>216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60">
        <v>67198.04</v>
      </c>
      <c r="P67" s="65"/>
    </row>
    <row r="68" spans="1:16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65"/>
    </row>
    <row r="69" spans="1:16" ht="15">
      <c r="A69" s="58" t="s">
        <v>217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65"/>
    </row>
    <row r="70" spans="1:16" s="74" customFormat="1" ht="12.75">
      <c r="A70" s="73" t="s">
        <v>254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9">
        <f>O74+O78</f>
        <v>482824.67999999993</v>
      </c>
    </row>
    <row r="71" spans="1:16" ht="15">
      <c r="A71" s="58" t="s">
        <v>262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65"/>
    </row>
    <row r="72" spans="1:16" ht="15">
      <c r="A72" s="58" t="s">
        <v>263</v>
      </c>
      <c r="B72" s="58"/>
      <c r="C72" s="58"/>
      <c r="D72" s="58"/>
      <c r="E72" s="58"/>
      <c r="F72" s="58"/>
      <c r="G72" s="80">
        <v>24.17</v>
      </c>
      <c r="H72" s="58"/>
      <c r="I72" s="58"/>
      <c r="J72" s="58" t="s">
        <v>188</v>
      </c>
      <c r="K72" s="58" t="s">
        <v>189</v>
      </c>
      <c r="L72" s="58">
        <v>8672.436</v>
      </c>
      <c r="M72" s="58" t="s">
        <v>218</v>
      </c>
      <c r="N72" s="58" t="s">
        <v>191</v>
      </c>
      <c r="O72" s="58">
        <f>ROUND(G72*L72,2)</f>
        <v>209612.78</v>
      </c>
      <c r="P72" s="65"/>
    </row>
    <row r="73" spans="1:16" ht="15">
      <c r="A73" s="58" t="s">
        <v>264</v>
      </c>
      <c r="B73" s="58"/>
      <c r="C73" s="58"/>
      <c r="D73" s="58"/>
      <c r="E73" s="58"/>
      <c r="F73" s="58"/>
      <c r="G73" s="58">
        <v>24.17</v>
      </c>
      <c r="H73" s="58"/>
      <c r="I73" s="58"/>
      <c r="J73" s="58" t="s">
        <v>188</v>
      </c>
      <c r="K73" s="58" t="s">
        <v>189</v>
      </c>
      <c r="L73" s="58">
        <v>415</v>
      </c>
      <c r="M73" s="58" t="s">
        <v>218</v>
      </c>
      <c r="N73" s="58"/>
      <c r="O73" s="58">
        <f>G73*L73</f>
        <v>10030.550000000001</v>
      </c>
      <c r="P73" s="65"/>
    </row>
    <row r="74" spans="1:16" ht="15">
      <c r="A74" s="58" t="s">
        <v>265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>
        <f>O72+O73</f>
        <v>219643.33</v>
      </c>
      <c r="P74" s="65"/>
    </row>
    <row r="75" spans="1:16" ht="15.75">
      <c r="A75" s="60" t="s">
        <v>216</v>
      </c>
      <c r="B75" s="77"/>
      <c r="C75" s="77"/>
      <c r="D75" s="77"/>
      <c r="E75" s="77"/>
      <c r="F75" s="77"/>
      <c r="G75" s="77">
        <v>27.91</v>
      </c>
      <c r="H75" s="77"/>
      <c r="I75" s="77"/>
      <c r="J75" s="77" t="s">
        <v>248</v>
      </c>
      <c r="K75" s="77"/>
      <c r="L75" s="77">
        <v>2118.9613</v>
      </c>
      <c r="M75" s="77" t="s">
        <v>211</v>
      </c>
      <c r="N75" s="77"/>
      <c r="O75" s="60">
        <f>G75*L75</f>
        <v>59140.209882999996</v>
      </c>
      <c r="P75" s="65"/>
    </row>
    <row r="76" spans="1:16" ht="15">
      <c r="A76" s="58" t="s">
        <v>219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65"/>
    </row>
    <row r="77" spans="1:16" ht="15">
      <c r="A77" s="58" t="s">
        <v>263</v>
      </c>
      <c r="B77" s="58"/>
      <c r="C77" s="58"/>
      <c r="D77" s="58"/>
      <c r="E77" s="58"/>
      <c r="F77" s="58"/>
      <c r="G77" s="58">
        <v>15.65</v>
      </c>
      <c r="H77" s="58"/>
      <c r="I77" s="58"/>
      <c r="J77" s="58" t="s">
        <v>188</v>
      </c>
      <c r="K77" s="58" t="s">
        <v>189</v>
      </c>
      <c r="L77" s="58">
        <v>16816.6997</v>
      </c>
      <c r="M77" s="58" t="s">
        <v>218</v>
      </c>
      <c r="N77" s="58" t="s">
        <v>191</v>
      </c>
      <c r="O77" s="58">
        <f>ROUND(G77*L77,2)</f>
        <v>263181.35</v>
      </c>
      <c r="P77" s="65"/>
    </row>
    <row r="78" spans="1:16" ht="15">
      <c r="A78" s="73" t="s">
        <v>318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>
        <f>O77</f>
        <v>263181.35</v>
      </c>
      <c r="P78" s="65"/>
    </row>
    <row r="79" spans="1:16" ht="15.75">
      <c r="A79" s="60" t="s">
        <v>216</v>
      </c>
      <c r="B79" s="77"/>
      <c r="C79" s="77"/>
      <c r="D79" s="77"/>
      <c r="E79" s="77"/>
      <c r="F79" s="77"/>
      <c r="G79" s="77">
        <v>15.26</v>
      </c>
      <c r="H79" s="77"/>
      <c r="I79" s="77"/>
      <c r="J79" s="77" t="s">
        <v>248</v>
      </c>
      <c r="K79" s="77"/>
      <c r="L79" s="77">
        <v>3136.00262</v>
      </c>
      <c r="M79" s="77"/>
      <c r="N79" s="77"/>
      <c r="O79" s="60">
        <f>G79*L79</f>
        <v>47855.399981200004</v>
      </c>
      <c r="P79" s="82"/>
    </row>
    <row r="80" spans="1:16" ht="15.75">
      <c r="A80" s="60" t="s">
        <v>220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>
        <f>O59+O60+O67+O75+O79</f>
        <v>398219.98986195</v>
      </c>
      <c r="P80" s="82"/>
    </row>
    <row r="81" spans="1:16" ht="15.75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4"/>
      <c r="P81" s="121"/>
    </row>
    <row r="82" spans="1:16" ht="15.7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4"/>
      <c r="P82" s="121"/>
    </row>
    <row r="83" spans="1:16" ht="15.7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4"/>
      <c r="P83" s="121"/>
    </row>
    <row r="84" spans="1:16" ht="15">
      <c r="A84" s="165" t="s">
        <v>221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</row>
    <row r="85" spans="1:16" ht="15">
      <c r="A85" s="165" t="s">
        <v>222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ht="15">
      <c r="A86" s="166" t="s">
        <v>187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</row>
    <row r="87" spans="1:16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 t="s">
        <v>188</v>
      </c>
    </row>
    <row r="88" spans="16:19" ht="15.75">
      <c r="P88" s="83">
        <f>P90+P95+P98+P102+P106+P109+P113+P116+P119+P123+P126+P129+P132+P135+P138+P141+P144</f>
        <v>985882.1499996001</v>
      </c>
      <c r="S88" s="72"/>
    </row>
    <row r="89" spans="1:16" ht="15">
      <c r="A89" s="148" t="s">
        <v>223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50"/>
      <c r="P89" s="58"/>
    </row>
    <row r="90" spans="1:16" ht="15">
      <c r="A90" s="148" t="s">
        <v>255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50"/>
      <c r="P90" s="111">
        <f>O91</f>
        <v>371320.7999996</v>
      </c>
    </row>
    <row r="91" spans="1:16" ht="15">
      <c r="A91" s="58" t="s">
        <v>224</v>
      </c>
      <c r="B91" s="58"/>
      <c r="C91" s="58">
        <v>95.8</v>
      </c>
      <c r="D91" s="58" t="s">
        <v>188</v>
      </c>
      <c r="E91" s="58"/>
      <c r="F91" s="58"/>
      <c r="G91" s="58">
        <v>33756.4363636</v>
      </c>
      <c r="H91" s="58" t="s">
        <v>225</v>
      </c>
      <c r="I91" s="58"/>
      <c r="J91" s="58"/>
      <c r="K91" s="58" t="s">
        <v>189</v>
      </c>
      <c r="L91" s="58">
        <v>11</v>
      </c>
      <c r="M91" s="58" t="s">
        <v>226</v>
      </c>
      <c r="N91" s="58" t="s">
        <v>191</v>
      </c>
      <c r="O91" s="58">
        <f>G91*L91</f>
        <v>371320.7999996</v>
      </c>
      <c r="P91" s="58"/>
    </row>
    <row r="92" spans="1:16" ht="15.75">
      <c r="A92" s="66" t="s">
        <v>227</v>
      </c>
      <c r="B92" s="84"/>
      <c r="C92" s="84">
        <v>95.8</v>
      </c>
      <c r="D92" s="84" t="s">
        <v>188</v>
      </c>
      <c r="E92" s="84"/>
      <c r="F92" s="84"/>
      <c r="G92" s="84">
        <v>9.82881</v>
      </c>
      <c r="H92" s="58" t="s">
        <v>225</v>
      </c>
      <c r="I92" s="84"/>
      <c r="J92" s="84"/>
      <c r="K92" s="84" t="s">
        <v>189</v>
      </c>
      <c r="L92" s="84">
        <v>1</v>
      </c>
      <c r="M92" s="84" t="s">
        <v>226</v>
      </c>
      <c r="N92" s="84" t="s">
        <v>191</v>
      </c>
      <c r="O92" s="85">
        <f>ROUND(C92*G92*L92,2)</f>
        <v>941.6</v>
      </c>
      <c r="P92" s="58"/>
    </row>
    <row r="93" spans="1:16" ht="15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3"/>
      <c r="P93" s="58"/>
    </row>
    <row r="94" spans="1:16" ht="15">
      <c r="A94" s="148" t="s">
        <v>223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58"/>
    </row>
    <row r="95" spans="1:16" ht="15">
      <c r="A95" s="148" t="s">
        <v>303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50"/>
      <c r="P95" s="111">
        <f>O96</f>
        <v>74160.8</v>
      </c>
    </row>
    <row r="96" spans="1:16" ht="15">
      <c r="A96" s="58" t="s">
        <v>224</v>
      </c>
      <c r="B96" s="58"/>
      <c r="C96" s="58">
        <v>95.8</v>
      </c>
      <c r="D96" s="58" t="s">
        <v>188</v>
      </c>
      <c r="E96" s="58"/>
      <c r="F96" s="58"/>
      <c r="G96" s="58">
        <v>74160.8</v>
      </c>
      <c r="H96" s="58" t="s">
        <v>225</v>
      </c>
      <c r="I96" s="58"/>
      <c r="J96" s="58"/>
      <c r="K96" s="58" t="s">
        <v>189</v>
      </c>
      <c r="L96" s="58">
        <v>1</v>
      </c>
      <c r="M96" s="58" t="s">
        <v>226</v>
      </c>
      <c r="N96" s="58" t="s">
        <v>191</v>
      </c>
      <c r="O96" s="58">
        <f>G96*L96</f>
        <v>74160.8</v>
      </c>
      <c r="P96" s="58"/>
    </row>
    <row r="97" spans="1:16" ht="15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3"/>
      <c r="P97" s="58"/>
    </row>
    <row r="98" spans="1:16" s="74" customFormat="1" ht="12.75">
      <c r="A98" s="73" t="s">
        <v>256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111">
        <f>O99</f>
        <v>6164.4</v>
      </c>
    </row>
    <row r="99" spans="1:16" ht="15">
      <c r="A99" s="58" t="s">
        <v>228</v>
      </c>
      <c r="B99" s="58"/>
      <c r="C99" s="58"/>
      <c r="D99" s="58"/>
      <c r="E99" s="58"/>
      <c r="F99" s="58"/>
      <c r="G99" s="58">
        <v>770.55</v>
      </c>
      <c r="H99" s="58" t="s">
        <v>188</v>
      </c>
      <c r="I99" s="58"/>
      <c r="J99" s="58"/>
      <c r="K99" s="58" t="s">
        <v>189</v>
      </c>
      <c r="L99" s="59">
        <v>8</v>
      </c>
      <c r="M99" s="58" t="s">
        <v>226</v>
      </c>
      <c r="N99" s="58" t="s">
        <v>191</v>
      </c>
      <c r="O99" s="75">
        <f>G99*L99</f>
        <v>6164.4</v>
      </c>
      <c r="P99" s="58"/>
    </row>
    <row r="100" spans="1:16" ht="15.75">
      <c r="A100" s="66" t="s">
        <v>227</v>
      </c>
      <c r="B100" s="84"/>
      <c r="C100" s="84"/>
      <c r="D100" s="84"/>
      <c r="E100" s="84"/>
      <c r="F100" s="84"/>
      <c r="G100" s="84">
        <v>770.55</v>
      </c>
      <c r="H100" s="58" t="s">
        <v>188</v>
      </c>
      <c r="I100" s="84"/>
      <c r="J100" s="58"/>
      <c r="K100" s="84" t="s">
        <v>189</v>
      </c>
      <c r="L100" s="84">
        <v>4</v>
      </c>
      <c r="M100" s="58" t="s">
        <v>226</v>
      </c>
      <c r="N100" s="84" t="s">
        <v>191</v>
      </c>
      <c r="O100" s="60">
        <f>G100*L100</f>
        <v>3082.2</v>
      </c>
      <c r="P100" s="58"/>
    </row>
    <row r="101" spans="1:16" ht="1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3"/>
      <c r="P101" s="58"/>
    </row>
    <row r="102" spans="1:18" s="74" customFormat="1" ht="12.75">
      <c r="A102" s="148" t="s">
        <v>298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50"/>
      <c r="P102" s="111">
        <f>O103</f>
        <v>21329.28</v>
      </c>
      <c r="Q102" s="119"/>
      <c r="R102" s="119"/>
    </row>
    <row r="103" spans="1:18" ht="15">
      <c r="A103" s="157" t="s">
        <v>229</v>
      </c>
      <c r="B103" s="158"/>
      <c r="C103" s="158"/>
      <c r="D103" s="158"/>
      <c r="E103" s="158"/>
      <c r="F103" s="159"/>
      <c r="G103" s="58">
        <v>1777.44</v>
      </c>
      <c r="H103" s="58" t="s">
        <v>188</v>
      </c>
      <c r="I103" s="58"/>
      <c r="J103" s="58"/>
      <c r="K103" s="58" t="s">
        <v>189</v>
      </c>
      <c r="L103" s="58">
        <v>12</v>
      </c>
      <c r="M103" s="58" t="s">
        <v>226</v>
      </c>
      <c r="N103" s="58" t="s">
        <v>191</v>
      </c>
      <c r="O103" s="58">
        <f>G103*L103</f>
        <v>21329.28</v>
      </c>
      <c r="P103" s="58"/>
      <c r="Q103" s="120"/>
      <c r="R103" s="120"/>
    </row>
    <row r="104" spans="1:18" ht="15.75">
      <c r="A104" s="66" t="s">
        <v>227</v>
      </c>
      <c r="B104" s="84"/>
      <c r="C104" s="84"/>
      <c r="D104" s="84"/>
      <c r="E104" s="84"/>
      <c r="F104" s="84"/>
      <c r="G104" s="84">
        <v>1777.4</v>
      </c>
      <c r="H104" s="58" t="s">
        <v>188</v>
      </c>
      <c r="I104" s="84"/>
      <c r="J104" s="84"/>
      <c r="K104" s="84"/>
      <c r="L104" s="84">
        <v>3</v>
      </c>
      <c r="M104" s="58" t="s">
        <v>226</v>
      </c>
      <c r="N104" s="58" t="s">
        <v>191</v>
      </c>
      <c r="O104" s="85">
        <f>G104*L104</f>
        <v>5332.200000000001</v>
      </c>
      <c r="P104" s="58"/>
      <c r="Q104" s="120"/>
      <c r="R104" s="120"/>
    </row>
    <row r="105" spans="1:18" ht="15.75">
      <c r="A105" s="160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2"/>
      <c r="P105" s="58"/>
      <c r="Q105" s="120"/>
      <c r="R105" s="120"/>
    </row>
    <row r="106" spans="1:18" s="74" customFormat="1" ht="12.75">
      <c r="A106" s="148" t="s">
        <v>299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50"/>
      <c r="P106" s="111">
        <f>O107</f>
        <v>1650</v>
      </c>
      <c r="Q106" s="119"/>
      <c r="R106" s="119"/>
    </row>
    <row r="107" spans="1:16" ht="15">
      <c r="A107" s="157" t="s">
        <v>229</v>
      </c>
      <c r="B107" s="158"/>
      <c r="C107" s="158"/>
      <c r="D107" s="158"/>
      <c r="E107" s="158"/>
      <c r="F107" s="159"/>
      <c r="G107" s="58">
        <v>1650</v>
      </c>
      <c r="H107" s="58" t="s">
        <v>188</v>
      </c>
      <c r="I107" s="58"/>
      <c r="J107" s="58"/>
      <c r="K107" s="58" t="s">
        <v>189</v>
      </c>
      <c r="L107" s="58">
        <v>1</v>
      </c>
      <c r="M107" s="58" t="s">
        <v>226</v>
      </c>
      <c r="N107" s="58" t="s">
        <v>191</v>
      </c>
      <c r="O107" s="58">
        <f>G107*L107</f>
        <v>1650</v>
      </c>
      <c r="P107" s="58"/>
    </row>
    <row r="108" spans="1:16" ht="15.75">
      <c r="A108" s="160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2"/>
      <c r="P108" s="58"/>
    </row>
    <row r="109" spans="1:16" s="74" customFormat="1" ht="12.75">
      <c r="A109" s="148" t="s">
        <v>257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50"/>
      <c r="P109" s="111">
        <f>O110</f>
        <v>26400</v>
      </c>
    </row>
    <row r="110" spans="1:16" ht="15">
      <c r="A110" s="157" t="s">
        <v>230</v>
      </c>
      <c r="B110" s="158"/>
      <c r="C110" s="158"/>
      <c r="D110" s="158"/>
      <c r="E110" s="158"/>
      <c r="F110" s="159"/>
      <c r="G110" s="58">
        <v>2200</v>
      </c>
      <c r="H110" s="58" t="s">
        <v>188</v>
      </c>
      <c r="I110" s="58"/>
      <c r="J110" s="58" t="s">
        <v>188</v>
      </c>
      <c r="K110" s="58" t="s">
        <v>189</v>
      </c>
      <c r="L110" s="58">
        <v>12</v>
      </c>
      <c r="M110" s="58" t="s">
        <v>226</v>
      </c>
      <c r="N110" s="58" t="s">
        <v>191</v>
      </c>
      <c r="O110" s="58">
        <f>G110*L110</f>
        <v>26400</v>
      </c>
      <c r="P110" s="58"/>
    </row>
    <row r="111" spans="1:16" ht="15">
      <c r="A111" s="157" t="s">
        <v>250</v>
      </c>
      <c r="B111" s="158"/>
      <c r="C111" s="158"/>
      <c r="D111" s="158"/>
      <c r="E111" s="158"/>
      <c r="F111" s="159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ht="15">
      <c r="A112" s="15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3"/>
      <c r="P112" s="58"/>
    </row>
    <row r="113" spans="1:16" s="74" customFormat="1" ht="12.75">
      <c r="A113" s="148" t="s">
        <v>259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50"/>
      <c r="P113" s="111">
        <f>O114</f>
        <v>57789.36</v>
      </c>
    </row>
    <row r="114" spans="1:16" ht="15">
      <c r="A114" s="157" t="s">
        <v>231</v>
      </c>
      <c r="B114" s="158"/>
      <c r="C114" s="158"/>
      <c r="D114" s="158"/>
      <c r="E114" s="158"/>
      <c r="F114" s="159"/>
      <c r="G114" s="58">
        <v>4815.78</v>
      </c>
      <c r="H114" s="58" t="s">
        <v>188</v>
      </c>
      <c r="I114" s="58"/>
      <c r="J114" s="58" t="s">
        <v>188</v>
      </c>
      <c r="K114" s="58" t="s">
        <v>189</v>
      </c>
      <c r="L114" s="58">
        <v>12</v>
      </c>
      <c r="M114" s="58" t="s">
        <v>226</v>
      </c>
      <c r="N114" s="58" t="s">
        <v>191</v>
      </c>
      <c r="O114" s="58">
        <f>G114*L114</f>
        <v>57789.36</v>
      </c>
      <c r="P114" s="58"/>
    </row>
    <row r="115" spans="1:16" ht="15">
      <c r="A115" s="151" t="s">
        <v>189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3"/>
      <c r="P115" s="58"/>
    </row>
    <row r="116" spans="1:16" s="74" customFormat="1" ht="12.75">
      <c r="A116" s="148" t="s">
        <v>302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50"/>
      <c r="P116" s="111">
        <f>O117</f>
        <v>41000</v>
      </c>
    </row>
    <row r="117" spans="1:16" ht="15">
      <c r="A117" s="163" t="s">
        <v>251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15">
        <v>41000</v>
      </c>
      <c r="P117" s="58"/>
    </row>
    <row r="118" spans="1:16" ht="15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3"/>
      <c r="P118" s="58"/>
    </row>
    <row r="119" spans="1:16" s="74" customFormat="1" ht="12.75">
      <c r="A119" s="148" t="s">
        <v>258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50"/>
      <c r="P119" s="111">
        <f>O120</f>
        <v>37440</v>
      </c>
    </row>
    <row r="120" spans="1:16" ht="15">
      <c r="A120" s="157" t="s">
        <v>232</v>
      </c>
      <c r="B120" s="158"/>
      <c r="C120" s="158"/>
      <c r="D120" s="158"/>
      <c r="E120" s="158"/>
      <c r="F120" s="159"/>
      <c r="G120" s="58">
        <v>3120</v>
      </c>
      <c r="H120" s="58" t="s">
        <v>188</v>
      </c>
      <c r="I120" s="58"/>
      <c r="J120" s="58" t="s">
        <v>188</v>
      </c>
      <c r="K120" s="58" t="s">
        <v>189</v>
      </c>
      <c r="L120" s="59">
        <v>12</v>
      </c>
      <c r="M120" s="58" t="s">
        <v>226</v>
      </c>
      <c r="N120" s="58" t="s">
        <v>191</v>
      </c>
      <c r="O120" s="58">
        <f>G120*L120</f>
        <v>37440</v>
      </c>
      <c r="P120" s="58"/>
    </row>
    <row r="121" spans="1:16" ht="15.75">
      <c r="A121" s="66" t="s">
        <v>227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86"/>
      <c r="N121" s="86"/>
      <c r="O121" s="69">
        <f>O92+O100+O104</f>
        <v>9356</v>
      </c>
      <c r="P121" s="58"/>
    </row>
    <row r="122" spans="1:16" ht="15.75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3"/>
      <c r="P122" s="99"/>
    </row>
    <row r="123" spans="1:16" s="74" customFormat="1" ht="12.75">
      <c r="A123" s="148" t="s">
        <v>306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50"/>
      <c r="P123" s="111">
        <f>O124</f>
        <v>13600</v>
      </c>
    </row>
    <row r="124" spans="1:16" ht="15.75" customHeight="1">
      <c r="A124" s="157" t="s">
        <v>307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9"/>
      <c r="O124" s="64">
        <v>13600</v>
      </c>
      <c r="P124" s="99"/>
    </row>
    <row r="125" spans="1:16" s="74" customFormat="1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50"/>
      <c r="P125" s="114"/>
    </row>
    <row r="126" spans="1:16" s="74" customFormat="1" ht="12.75">
      <c r="A126" s="148" t="s">
        <v>308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50"/>
      <c r="P126" s="111">
        <f>O127</f>
        <v>41000</v>
      </c>
    </row>
    <row r="127" spans="1:16" ht="15.75">
      <c r="A127" s="157" t="s">
        <v>307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9"/>
      <c r="O127" s="64">
        <v>41000</v>
      </c>
      <c r="P127" s="99"/>
    </row>
    <row r="128" spans="1:16" ht="15.75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3"/>
      <c r="P128" s="99"/>
    </row>
    <row r="129" spans="1:16" s="74" customFormat="1" ht="12.75">
      <c r="A129" s="148" t="s">
        <v>309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50"/>
      <c r="P129" s="111">
        <f>O130</f>
        <v>65110.17</v>
      </c>
    </row>
    <row r="130" spans="1:16" ht="15.75">
      <c r="A130" s="157" t="s">
        <v>310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9"/>
      <c r="O130" s="112">
        <v>65110.17</v>
      </c>
      <c r="P130" s="99"/>
    </row>
    <row r="131" spans="1:16" ht="15.75">
      <c r="A131" s="157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9"/>
      <c r="P131" s="99"/>
    </row>
    <row r="132" spans="1:16" s="74" customFormat="1" ht="12.75">
      <c r="A132" s="148" t="s">
        <v>311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50"/>
      <c r="P132" s="111">
        <f>O133</f>
        <v>18000</v>
      </c>
    </row>
    <row r="133" spans="1:16" ht="15.75">
      <c r="A133" s="157" t="s">
        <v>312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9"/>
      <c r="O133" s="117">
        <v>18000</v>
      </c>
      <c r="P133" s="99"/>
    </row>
    <row r="134" spans="1:16" ht="15.75">
      <c r="A134" s="151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  <c r="P134" s="99"/>
    </row>
    <row r="135" spans="1:16" s="74" customFormat="1" ht="12.75">
      <c r="A135" s="148" t="s">
        <v>313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50"/>
      <c r="P135" s="111">
        <f>O136</f>
        <v>30233.79</v>
      </c>
    </row>
    <row r="136" spans="1:16" ht="15.75">
      <c r="A136" s="157" t="s">
        <v>314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9"/>
      <c r="O136" s="112">
        <v>30233.79</v>
      </c>
      <c r="P136" s="99"/>
    </row>
    <row r="137" spans="1:16" ht="15.75">
      <c r="A137" s="15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3"/>
      <c r="P137" s="99"/>
    </row>
    <row r="138" spans="1:16" ht="15">
      <c r="A138" s="154" t="s">
        <v>315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6"/>
      <c r="P138" s="118">
        <f>O139</f>
        <v>148683.55</v>
      </c>
    </row>
    <row r="139" spans="1:16" ht="15.75">
      <c r="A139" s="157" t="s">
        <v>316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9"/>
      <c r="O139" s="112">
        <v>148683.55</v>
      </c>
      <c r="P139" s="99"/>
    </row>
    <row r="140" spans="1:16" ht="15.75">
      <c r="A140" s="151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3"/>
      <c r="P140" s="99"/>
    </row>
    <row r="141" spans="1:16" ht="15">
      <c r="A141" s="154" t="s">
        <v>304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6"/>
      <c r="P141" s="118">
        <f>O142</f>
        <v>24000</v>
      </c>
    </row>
    <row r="142" spans="1:16" ht="15.75">
      <c r="A142" s="157" t="s">
        <v>301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64">
        <v>24000</v>
      </c>
      <c r="P142" s="99"/>
    </row>
    <row r="143" spans="1:16" ht="15.75">
      <c r="A143" s="15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3"/>
      <c r="P143" s="99"/>
    </row>
    <row r="144" spans="1:24" s="74" customFormat="1" ht="12.75">
      <c r="A144" s="148" t="s">
        <v>305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50"/>
      <c r="P144" s="110">
        <v>8000</v>
      </c>
      <c r="X144" s="88"/>
    </row>
    <row r="145" spans="1:16" ht="15">
      <c r="A145" s="157" t="s">
        <v>300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9"/>
      <c r="O145" s="116">
        <v>8000</v>
      </c>
      <c r="P145" s="58"/>
    </row>
    <row r="148" spans="1:16" ht="15">
      <c r="A148" s="165" t="s">
        <v>233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</row>
    <row r="149" spans="1:16" ht="15">
      <c r="A149" s="165" t="s">
        <v>234</v>
      </c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</row>
    <row r="150" spans="1:16" ht="15">
      <c r="A150" s="166" t="s">
        <v>187</v>
      </c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9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 t="s">
        <v>188</v>
      </c>
      <c r="S151" s="72"/>
    </row>
    <row r="152" ht="15.75">
      <c r="P152" s="105">
        <f>P154+P158+P164+P170+P173+P176+P179+P182</f>
        <v>490086.39</v>
      </c>
    </row>
    <row r="153" spans="1:16" ht="15">
      <c r="A153" s="89" t="s">
        <v>235</v>
      </c>
      <c r="B153" s="90"/>
      <c r="C153" s="91"/>
      <c r="P153" s="58"/>
    </row>
    <row r="154" spans="1:16" s="74" customFormat="1" ht="12.75">
      <c r="A154" s="73" t="s">
        <v>286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111">
        <f>O155</f>
        <v>38368.8</v>
      </c>
    </row>
    <row r="155" spans="1:21" ht="15">
      <c r="A155" s="58"/>
      <c r="B155" s="58"/>
      <c r="C155" s="58"/>
      <c r="D155" s="58"/>
      <c r="E155" s="58"/>
      <c r="F155" s="58"/>
      <c r="G155" s="58">
        <v>3197.4</v>
      </c>
      <c r="H155" s="58"/>
      <c r="I155" s="58"/>
      <c r="J155" s="58" t="s">
        <v>188</v>
      </c>
      <c r="K155" s="58" t="s">
        <v>189</v>
      </c>
      <c r="L155" s="58">
        <v>12</v>
      </c>
      <c r="M155" s="58" t="s">
        <v>226</v>
      </c>
      <c r="N155" s="58" t="s">
        <v>191</v>
      </c>
      <c r="O155" s="58">
        <f>G155*L155</f>
        <v>38368.8</v>
      </c>
      <c r="P155" s="73"/>
      <c r="R155" s="92"/>
      <c r="U155">
        <f>O156</f>
        <v>0</v>
      </c>
    </row>
    <row r="156" spans="1:16" ht="15.75">
      <c r="A156" s="66" t="s">
        <v>227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60">
        <f>G156*2</f>
        <v>0</v>
      </c>
      <c r="P156" s="73"/>
    </row>
    <row r="157" spans="1:16" ht="15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3"/>
      <c r="P157" s="73"/>
    </row>
    <row r="158" spans="1:16" ht="15.75" thickBot="1">
      <c r="A158" s="154" t="s">
        <v>287</v>
      </c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6"/>
      <c r="P158" s="110">
        <v>90950</v>
      </c>
    </row>
    <row r="159" spans="1:16" s="74" customFormat="1" ht="15" customHeight="1" thickBot="1">
      <c r="A159" s="198" t="s">
        <v>294</v>
      </c>
      <c r="B159" s="199"/>
      <c r="C159" s="199"/>
      <c r="D159" s="199"/>
      <c r="E159" s="199"/>
      <c r="F159" s="199"/>
      <c r="G159" s="200"/>
      <c r="H159" s="193">
        <v>43</v>
      </c>
      <c r="I159" s="194"/>
      <c r="J159" s="113" t="s">
        <v>189</v>
      </c>
      <c r="K159" s="174">
        <v>1450</v>
      </c>
      <c r="L159" s="179"/>
      <c r="M159" s="175"/>
      <c r="N159" s="107" t="s">
        <v>191</v>
      </c>
      <c r="O159" s="95">
        <f>H159*K159</f>
        <v>62350</v>
      </c>
      <c r="P159" s="73"/>
    </row>
    <row r="160" spans="1:16" ht="15" customHeight="1" thickBot="1">
      <c r="A160" s="198" t="s">
        <v>295</v>
      </c>
      <c r="B160" s="199"/>
      <c r="C160" s="199"/>
      <c r="D160" s="199"/>
      <c r="E160" s="199"/>
      <c r="F160" s="199"/>
      <c r="G160" s="200"/>
      <c r="H160" s="193">
        <v>15</v>
      </c>
      <c r="I160" s="194"/>
      <c r="J160" s="113" t="s">
        <v>189</v>
      </c>
      <c r="K160" s="174">
        <v>1250</v>
      </c>
      <c r="L160" s="179"/>
      <c r="M160" s="175"/>
      <c r="N160" s="107" t="s">
        <v>191</v>
      </c>
      <c r="O160" s="95">
        <f>H160*K160</f>
        <v>18750</v>
      </c>
      <c r="P160" s="114"/>
    </row>
    <row r="161" spans="1:16" ht="15" customHeight="1" thickBot="1">
      <c r="A161" s="198" t="s">
        <v>296</v>
      </c>
      <c r="B161" s="199"/>
      <c r="C161" s="199"/>
      <c r="D161" s="199"/>
      <c r="E161" s="199"/>
      <c r="F161" s="199"/>
      <c r="G161" s="200"/>
      <c r="H161" s="193">
        <v>11</v>
      </c>
      <c r="I161" s="194"/>
      <c r="J161" s="113" t="s">
        <v>189</v>
      </c>
      <c r="K161" s="174">
        <v>150</v>
      </c>
      <c r="L161" s="179"/>
      <c r="M161" s="175"/>
      <c r="N161" s="107" t="s">
        <v>191</v>
      </c>
      <c r="O161" s="95">
        <f>H161*K161</f>
        <v>1650</v>
      </c>
      <c r="P161" s="93"/>
    </row>
    <row r="162" spans="1:16" ht="14.25" customHeight="1">
      <c r="A162" s="198" t="s">
        <v>297</v>
      </c>
      <c r="B162" s="199"/>
      <c r="C162" s="199"/>
      <c r="D162" s="199"/>
      <c r="E162" s="199"/>
      <c r="F162" s="199"/>
      <c r="G162" s="200"/>
      <c r="H162" s="193">
        <v>41</v>
      </c>
      <c r="I162" s="194"/>
      <c r="J162" s="113" t="s">
        <v>189</v>
      </c>
      <c r="K162" s="174">
        <v>200</v>
      </c>
      <c r="L162" s="179"/>
      <c r="M162" s="175"/>
      <c r="N162" s="107" t="s">
        <v>191</v>
      </c>
      <c r="O162" s="95">
        <f>H162*K162</f>
        <v>8200</v>
      </c>
      <c r="P162" s="93"/>
    </row>
    <row r="163" spans="1:16" ht="15.75">
      <c r="A163" s="160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2"/>
      <c r="P163" s="94"/>
    </row>
    <row r="164" spans="1:16" ht="15.75" thickBot="1">
      <c r="A164" s="154" t="s">
        <v>288</v>
      </c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6"/>
      <c r="P164" s="110">
        <f>O165+O166+O167+O168</f>
        <v>160200</v>
      </c>
    </row>
    <row r="165" spans="1:16" ht="15.75" thickBot="1">
      <c r="A165" s="198" t="s">
        <v>294</v>
      </c>
      <c r="B165" s="199"/>
      <c r="C165" s="199"/>
      <c r="D165" s="199"/>
      <c r="E165" s="199"/>
      <c r="F165" s="199"/>
      <c r="G165" s="200"/>
      <c r="H165" s="193">
        <v>81</v>
      </c>
      <c r="I165" s="194"/>
      <c r="J165" s="113" t="s">
        <v>189</v>
      </c>
      <c r="K165" s="174">
        <v>1450</v>
      </c>
      <c r="L165" s="179"/>
      <c r="M165" s="175"/>
      <c r="N165" s="107" t="s">
        <v>191</v>
      </c>
      <c r="O165" s="95">
        <f>H165*K165</f>
        <v>117450</v>
      </c>
      <c r="P165" s="94"/>
    </row>
    <row r="166" spans="1:16" ht="15.75" thickBot="1">
      <c r="A166" s="198" t="s">
        <v>295</v>
      </c>
      <c r="B166" s="199"/>
      <c r="C166" s="199"/>
      <c r="D166" s="199"/>
      <c r="E166" s="199"/>
      <c r="F166" s="199"/>
      <c r="G166" s="200"/>
      <c r="H166" s="193">
        <v>22</v>
      </c>
      <c r="I166" s="194"/>
      <c r="J166" s="113" t="s">
        <v>189</v>
      </c>
      <c r="K166" s="174">
        <v>1250</v>
      </c>
      <c r="L166" s="179"/>
      <c r="M166" s="175"/>
      <c r="N166" s="107" t="s">
        <v>191</v>
      </c>
      <c r="O166" s="95">
        <f>H166*K166</f>
        <v>27500</v>
      </c>
      <c r="P166" s="94"/>
    </row>
    <row r="167" spans="1:16" ht="15.75" thickBot="1">
      <c r="A167" s="198" t="s">
        <v>296</v>
      </c>
      <c r="B167" s="199"/>
      <c r="C167" s="199"/>
      <c r="D167" s="199"/>
      <c r="E167" s="199"/>
      <c r="F167" s="199"/>
      <c r="G167" s="200"/>
      <c r="H167" s="193">
        <v>31</v>
      </c>
      <c r="I167" s="194"/>
      <c r="J167" s="113" t="s">
        <v>189</v>
      </c>
      <c r="K167" s="174">
        <v>150</v>
      </c>
      <c r="L167" s="179"/>
      <c r="M167" s="175"/>
      <c r="N167" s="107" t="s">
        <v>191</v>
      </c>
      <c r="O167" s="95">
        <f>H167*K167</f>
        <v>4650</v>
      </c>
      <c r="P167" s="94"/>
    </row>
    <row r="168" spans="1:16" ht="15">
      <c r="A168" s="198" t="s">
        <v>297</v>
      </c>
      <c r="B168" s="199"/>
      <c r="C168" s="199"/>
      <c r="D168" s="199"/>
      <c r="E168" s="199"/>
      <c r="F168" s="199"/>
      <c r="G168" s="200"/>
      <c r="H168" s="193">
        <v>53</v>
      </c>
      <c r="I168" s="194"/>
      <c r="J168" s="113" t="s">
        <v>189</v>
      </c>
      <c r="K168" s="174">
        <v>200</v>
      </c>
      <c r="L168" s="179"/>
      <c r="M168" s="175"/>
      <c r="N168" s="107" t="s">
        <v>191</v>
      </c>
      <c r="O168" s="95">
        <f>H168*K168</f>
        <v>10600</v>
      </c>
      <c r="P168" s="94"/>
    </row>
    <row r="169" spans="1:16" ht="15.75">
      <c r="A169" s="160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2"/>
      <c r="P169" s="94"/>
    </row>
    <row r="170" spans="1:16" ht="16.5" thickBot="1">
      <c r="A170" s="189" t="s">
        <v>289</v>
      </c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1"/>
      <c r="P170" s="110">
        <v>71500</v>
      </c>
    </row>
    <row r="171" spans="1:16" ht="15.75">
      <c r="A171" s="192" t="s">
        <v>290</v>
      </c>
      <c r="B171" s="192"/>
      <c r="C171" s="192"/>
      <c r="D171" s="192"/>
      <c r="E171" s="192"/>
      <c r="F171" s="192"/>
      <c r="G171" s="192"/>
      <c r="H171" s="193">
        <v>71.5</v>
      </c>
      <c r="I171" s="194"/>
      <c r="J171" s="113" t="s">
        <v>189</v>
      </c>
      <c r="K171" s="174">
        <v>1000</v>
      </c>
      <c r="L171" s="179"/>
      <c r="M171" s="175"/>
      <c r="N171" s="107" t="s">
        <v>191</v>
      </c>
      <c r="O171" s="95">
        <f>H171*K171</f>
        <v>71500</v>
      </c>
      <c r="P171" s="94"/>
    </row>
    <row r="172" spans="1:16" ht="15.75">
      <c r="A172" s="195"/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7"/>
      <c r="P172" s="94"/>
    </row>
    <row r="173" spans="1:16" s="74" customFormat="1" ht="12.75">
      <c r="A173" s="168" t="s">
        <v>293</v>
      </c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70"/>
      <c r="P173" s="110">
        <f>O174</f>
        <v>31538.71</v>
      </c>
    </row>
    <row r="174" spans="1:16" ht="15">
      <c r="A174" s="183" t="s">
        <v>292</v>
      </c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5"/>
      <c r="O174" s="65">
        <v>31538.71</v>
      </c>
      <c r="P174" s="73"/>
    </row>
    <row r="175" spans="1:16" ht="15.75">
      <c r="A175" s="160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2"/>
      <c r="P175" s="94"/>
    </row>
    <row r="176" spans="1:16" s="74" customFormat="1" ht="12.75">
      <c r="A176" s="168" t="s">
        <v>291</v>
      </c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70"/>
      <c r="P176" s="110">
        <f>O177</f>
        <v>39752.88</v>
      </c>
    </row>
    <row r="177" spans="1:16" ht="15">
      <c r="A177" s="183" t="s">
        <v>292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5"/>
      <c r="O177" s="65">
        <v>39752.88</v>
      </c>
      <c r="P177" s="73"/>
    </row>
    <row r="178" spans="1:16" ht="15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95"/>
      <c r="L178" s="95"/>
      <c r="M178" s="95"/>
      <c r="N178" s="95"/>
      <c r="O178" s="65"/>
      <c r="P178" s="73"/>
    </row>
    <row r="179" spans="1:16" ht="15">
      <c r="A179" s="180" t="s">
        <v>282</v>
      </c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2"/>
      <c r="P179" s="110">
        <f>O180</f>
        <v>29664</v>
      </c>
    </row>
    <row r="180" spans="1:16" ht="15">
      <c r="A180" s="183" t="s">
        <v>283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5"/>
      <c r="O180" s="65">
        <v>29664</v>
      </c>
      <c r="P180" s="73"/>
    </row>
    <row r="181" spans="1:16" ht="15">
      <c r="A181" s="186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8"/>
      <c r="P181" s="73"/>
    </row>
    <row r="182" spans="1:16" ht="15">
      <c r="A182" s="180" t="s">
        <v>284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2"/>
      <c r="P182" s="110">
        <f>O183</f>
        <v>28112</v>
      </c>
    </row>
    <row r="183" spans="1:16" ht="15">
      <c r="A183" s="183" t="s">
        <v>285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5"/>
      <c r="O183" s="65">
        <v>28112</v>
      </c>
      <c r="P183" s="73"/>
    </row>
    <row r="186" spans="1:16" ht="15">
      <c r="A186" s="165" t="s">
        <v>236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</row>
    <row r="187" spans="1:16" ht="15">
      <c r="A187" s="165" t="s">
        <v>237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</row>
    <row r="188" spans="1:16" ht="15">
      <c r="A188" s="166" t="s">
        <v>187</v>
      </c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</row>
    <row r="189" spans="1:16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 t="s">
        <v>188</v>
      </c>
    </row>
    <row r="190" ht="15.75">
      <c r="P190" s="105">
        <f>O193+O198+O201</f>
        <v>2228661.5300000003</v>
      </c>
    </row>
    <row r="191" ht="15">
      <c r="P191" s="58"/>
    </row>
    <row r="192" spans="1:16" ht="15">
      <c r="A192" s="73" t="s">
        <v>238</v>
      </c>
      <c r="B192" s="73"/>
      <c r="C192" s="73"/>
      <c r="D192" s="73"/>
      <c r="E192" s="73"/>
      <c r="F192" s="73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6" ht="15">
      <c r="A193" s="96">
        <v>69876363.64</v>
      </c>
      <c r="B193" s="58" t="s">
        <v>189</v>
      </c>
      <c r="C193" s="97">
        <v>0.022</v>
      </c>
      <c r="D193" s="58" t="s">
        <v>191</v>
      </c>
      <c r="E193" s="58"/>
      <c r="F193" s="58">
        <f>ROUND((A193*C193),0)</f>
        <v>1537280</v>
      </c>
      <c r="G193" s="58"/>
      <c r="H193" s="58"/>
      <c r="I193" s="58"/>
      <c r="J193" s="58"/>
      <c r="K193" s="58"/>
      <c r="L193" s="58"/>
      <c r="M193" s="58"/>
      <c r="N193" s="58"/>
      <c r="O193" s="58">
        <v>1429648.53</v>
      </c>
      <c r="P193" s="58"/>
    </row>
    <row r="194" spans="1:16" ht="15.75" customHeight="1">
      <c r="A194" s="58" t="s">
        <v>239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1:16" ht="15.75">
      <c r="A195" s="66" t="s">
        <v>227</v>
      </c>
      <c r="B195" s="84">
        <v>20339284.1</v>
      </c>
      <c r="C195" s="98">
        <v>0.022</v>
      </c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78">
        <v>415964.25</v>
      </c>
      <c r="P195" s="58"/>
    </row>
    <row r="196" spans="1:16" ht="15">
      <c r="A196" s="73"/>
      <c r="B196" s="73"/>
      <c r="C196" s="73"/>
      <c r="D196" s="73"/>
      <c r="E196" s="73"/>
      <c r="F196" s="73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ht="15">
      <c r="A197" s="73" t="s">
        <v>240</v>
      </c>
      <c r="B197" s="73"/>
      <c r="C197" s="73"/>
      <c r="D197" s="73"/>
      <c r="E197" s="73"/>
      <c r="F197" s="73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ht="12.75" customHeight="1">
      <c r="A198" s="96">
        <v>52936894.98</v>
      </c>
      <c r="B198" s="58" t="s">
        <v>189</v>
      </c>
      <c r="C198" s="97">
        <v>0.015</v>
      </c>
      <c r="D198" s="58" t="s">
        <v>191</v>
      </c>
      <c r="E198" s="58"/>
      <c r="F198" s="58">
        <f>ROUND((A198*C198),0)</f>
        <v>794053</v>
      </c>
      <c r="G198" s="58"/>
      <c r="H198" s="58"/>
      <c r="I198" s="58"/>
      <c r="J198" s="58"/>
      <c r="K198" s="58"/>
      <c r="L198" s="58"/>
      <c r="M198" s="58"/>
      <c r="N198" s="58"/>
      <c r="O198" s="58">
        <f>F198</f>
        <v>794053</v>
      </c>
      <c r="P198" s="58"/>
    </row>
    <row r="199" spans="1:16" ht="15.75">
      <c r="A199" s="66" t="s">
        <v>227</v>
      </c>
      <c r="B199" s="84">
        <v>15881000</v>
      </c>
      <c r="C199" s="98">
        <v>0.015</v>
      </c>
      <c r="D199" s="84"/>
      <c r="E199" s="84"/>
      <c r="F199" s="84">
        <f>B199*C199</f>
        <v>238215</v>
      </c>
      <c r="G199" s="84"/>
      <c r="H199" s="84"/>
      <c r="I199" s="84"/>
      <c r="J199" s="84"/>
      <c r="K199" s="84"/>
      <c r="L199" s="84"/>
      <c r="M199" s="84"/>
      <c r="N199" s="84"/>
      <c r="O199" s="60">
        <f>F199</f>
        <v>238215</v>
      </c>
      <c r="P199" s="58"/>
    </row>
    <row r="200" spans="1:16" ht="15">
      <c r="A200" s="73" t="s">
        <v>241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ht="15">
      <c r="A201" s="73" t="s">
        <v>242</v>
      </c>
      <c r="B201" s="73"/>
      <c r="C201" s="58"/>
      <c r="D201" s="58"/>
      <c r="E201" s="58"/>
      <c r="F201" s="58">
        <v>4960</v>
      </c>
      <c r="G201" s="58"/>
      <c r="H201" s="58"/>
      <c r="I201" s="58"/>
      <c r="J201" s="58"/>
      <c r="K201" s="58"/>
      <c r="L201" s="58"/>
      <c r="M201" s="58"/>
      <c r="N201" s="58"/>
      <c r="O201" s="58">
        <f>F201</f>
        <v>4960</v>
      </c>
      <c r="P201" s="58"/>
    </row>
    <row r="202" spans="1:16" ht="15.75">
      <c r="A202" s="84" t="s">
        <v>252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100">
        <f>O195+O199</f>
        <v>654179.25</v>
      </c>
      <c r="P202" s="95"/>
    </row>
    <row r="203" spans="1:16" ht="15" hidden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ht="15" hidden="1">
      <c r="A204" s="73" t="s">
        <v>243</v>
      </c>
      <c r="B204" s="73"/>
      <c r="C204" s="73"/>
      <c r="D204" s="73"/>
      <c r="E204" s="73"/>
      <c r="F204" s="73"/>
      <c r="G204" s="73"/>
      <c r="H204" s="73"/>
      <c r="I204" s="58"/>
      <c r="J204" s="58"/>
      <c r="K204" s="58"/>
      <c r="L204" s="58"/>
      <c r="M204" s="58"/>
      <c r="N204" s="58"/>
      <c r="O204" s="58"/>
      <c r="P204" s="58"/>
    </row>
    <row r="205" spans="1:16" ht="1.5" customHeight="1" hidden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1:16" ht="15" hidden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1:16" ht="15" hidden="1">
      <c r="A207" s="73" t="s">
        <v>244</v>
      </c>
      <c r="B207" s="73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6" ht="15">
      <c r="A208" s="101"/>
      <c r="B208" s="101"/>
      <c r="C208" s="102"/>
      <c r="D208" s="102"/>
      <c r="E208" s="102"/>
      <c r="F208" s="103"/>
      <c r="G208" s="103"/>
      <c r="H208" s="103"/>
      <c r="I208" s="102"/>
      <c r="J208" s="102"/>
      <c r="K208" s="102"/>
      <c r="L208" s="102"/>
      <c r="M208" s="102"/>
      <c r="N208" s="102"/>
      <c r="O208" s="102"/>
      <c r="P208" s="102"/>
    </row>
    <row r="209" spans="1:16" ht="15">
      <c r="A209" s="165" t="s">
        <v>260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</row>
    <row r="210" spans="1:16" ht="15">
      <c r="A210" s="165" t="s">
        <v>261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</row>
    <row r="211" spans="1:16" ht="15">
      <c r="A211" s="166" t="s">
        <v>187</v>
      </c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</row>
    <row r="212" spans="1:16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 t="s">
        <v>188</v>
      </c>
    </row>
    <row r="213" ht="15.75">
      <c r="P213" s="105">
        <f>P215</f>
        <v>16527.299999996</v>
      </c>
    </row>
    <row r="214" ht="15">
      <c r="P214" s="58"/>
    </row>
    <row r="215" spans="1:16" ht="15.75" thickBot="1">
      <c r="A215" s="168" t="s">
        <v>271</v>
      </c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70"/>
      <c r="P215" s="106">
        <f>O216+O217+O218+O219+O220+O221+O222+O223+O224+O225</f>
        <v>16527.299999996</v>
      </c>
    </row>
    <row r="216" spans="1:16" ht="18.75" customHeight="1" thickBot="1">
      <c r="A216" s="176" t="s">
        <v>272</v>
      </c>
      <c r="B216" s="177"/>
      <c r="C216" s="177"/>
      <c r="D216" s="177"/>
      <c r="E216" s="177"/>
      <c r="F216" s="177"/>
      <c r="G216" s="178"/>
      <c r="H216" s="174">
        <v>76</v>
      </c>
      <c r="I216" s="175"/>
      <c r="J216" s="113" t="s">
        <v>189</v>
      </c>
      <c r="K216" s="174">
        <v>6</v>
      </c>
      <c r="L216" s="179"/>
      <c r="M216" s="175"/>
      <c r="N216" s="107" t="s">
        <v>191</v>
      </c>
      <c r="O216" s="95">
        <f>H216*K216</f>
        <v>456</v>
      </c>
      <c r="P216" s="58"/>
    </row>
    <row r="217" spans="1:16" ht="14.25" customHeight="1" thickBot="1">
      <c r="A217" s="176" t="s">
        <v>273</v>
      </c>
      <c r="B217" s="177"/>
      <c r="C217" s="177"/>
      <c r="D217" s="177"/>
      <c r="E217" s="177"/>
      <c r="F217" s="177"/>
      <c r="G217" s="178"/>
      <c r="H217" s="174">
        <v>45</v>
      </c>
      <c r="I217" s="175"/>
      <c r="J217" s="113" t="s">
        <v>189</v>
      </c>
      <c r="K217" s="174">
        <v>6</v>
      </c>
      <c r="L217" s="179"/>
      <c r="M217" s="175"/>
      <c r="N217" s="107" t="s">
        <v>191</v>
      </c>
      <c r="O217" s="95">
        <f aca="true" t="shared" si="0" ref="O217:O225">H217*K217</f>
        <v>270</v>
      </c>
      <c r="P217" s="58"/>
    </row>
    <row r="218" spans="1:16" ht="20.25" customHeight="1" thickBot="1">
      <c r="A218" s="176" t="s">
        <v>274</v>
      </c>
      <c r="B218" s="177"/>
      <c r="C218" s="177"/>
      <c r="D218" s="177"/>
      <c r="E218" s="177"/>
      <c r="F218" s="177"/>
      <c r="G218" s="178"/>
      <c r="H218" s="174">
        <v>255.216666666</v>
      </c>
      <c r="I218" s="175"/>
      <c r="J218" s="113" t="s">
        <v>189</v>
      </c>
      <c r="K218" s="174">
        <v>6</v>
      </c>
      <c r="L218" s="179"/>
      <c r="M218" s="175"/>
      <c r="N218" s="107" t="s">
        <v>191</v>
      </c>
      <c r="O218" s="95">
        <f t="shared" si="0"/>
        <v>1531.299999996</v>
      </c>
      <c r="P218" s="58"/>
    </row>
    <row r="219" spans="1:16" ht="17.25" customHeight="1" thickBot="1">
      <c r="A219" s="176" t="s">
        <v>275</v>
      </c>
      <c r="B219" s="177"/>
      <c r="C219" s="177"/>
      <c r="D219" s="177"/>
      <c r="E219" s="177"/>
      <c r="F219" s="177"/>
      <c r="G219" s="178"/>
      <c r="H219" s="174">
        <v>68</v>
      </c>
      <c r="I219" s="175"/>
      <c r="J219" s="113" t="s">
        <v>189</v>
      </c>
      <c r="K219" s="174">
        <v>28</v>
      </c>
      <c r="L219" s="179"/>
      <c r="M219" s="175"/>
      <c r="N219" s="107" t="s">
        <v>191</v>
      </c>
      <c r="O219" s="95">
        <f t="shared" si="0"/>
        <v>1904</v>
      </c>
      <c r="P219" s="58"/>
    </row>
    <row r="220" spans="1:16" ht="15.75" customHeight="1" thickBot="1">
      <c r="A220" s="176" t="s">
        <v>276</v>
      </c>
      <c r="B220" s="177"/>
      <c r="C220" s="177"/>
      <c r="D220" s="177"/>
      <c r="E220" s="177"/>
      <c r="F220" s="177"/>
      <c r="G220" s="178"/>
      <c r="H220" s="174">
        <v>14</v>
      </c>
      <c r="I220" s="175"/>
      <c r="J220" s="113" t="s">
        <v>189</v>
      </c>
      <c r="K220" s="174">
        <v>120</v>
      </c>
      <c r="L220" s="179"/>
      <c r="M220" s="175"/>
      <c r="N220" s="107" t="s">
        <v>191</v>
      </c>
      <c r="O220" s="95">
        <f t="shared" si="0"/>
        <v>1680</v>
      </c>
      <c r="P220" s="58"/>
    </row>
    <row r="221" spans="1:16" ht="20.25" customHeight="1" thickBot="1">
      <c r="A221" s="176" t="s">
        <v>277</v>
      </c>
      <c r="B221" s="177"/>
      <c r="C221" s="177"/>
      <c r="D221" s="177"/>
      <c r="E221" s="177"/>
      <c r="F221" s="177"/>
      <c r="G221" s="178"/>
      <c r="H221" s="174">
        <v>26</v>
      </c>
      <c r="I221" s="175"/>
      <c r="J221" s="113" t="s">
        <v>189</v>
      </c>
      <c r="K221" s="174">
        <v>60</v>
      </c>
      <c r="L221" s="179"/>
      <c r="M221" s="175"/>
      <c r="N221" s="107" t="s">
        <v>191</v>
      </c>
      <c r="O221" s="95">
        <f t="shared" si="0"/>
        <v>1560</v>
      </c>
      <c r="P221" s="58"/>
    </row>
    <row r="222" spans="1:16" ht="18" customHeight="1" thickBot="1">
      <c r="A222" s="176" t="s">
        <v>278</v>
      </c>
      <c r="B222" s="177"/>
      <c r="C222" s="177"/>
      <c r="D222" s="177"/>
      <c r="E222" s="177"/>
      <c r="F222" s="177"/>
      <c r="G222" s="178"/>
      <c r="H222" s="174">
        <v>76</v>
      </c>
      <c r="I222" s="175"/>
      <c r="J222" s="113" t="s">
        <v>189</v>
      </c>
      <c r="K222" s="174">
        <v>11</v>
      </c>
      <c r="L222" s="179"/>
      <c r="M222" s="175"/>
      <c r="N222" s="107" t="s">
        <v>191</v>
      </c>
      <c r="O222" s="95">
        <f t="shared" si="0"/>
        <v>836</v>
      </c>
      <c r="P222" s="58"/>
    </row>
    <row r="223" spans="1:16" ht="20.25" customHeight="1" thickBot="1">
      <c r="A223" s="176" t="s">
        <v>279</v>
      </c>
      <c r="B223" s="177"/>
      <c r="C223" s="177"/>
      <c r="D223" s="177"/>
      <c r="E223" s="177"/>
      <c r="F223" s="177"/>
      <c r="G223" s="178"/>
      <c r="H223" s="174">
        <v>96</v>
      </c>
      <c r="I223" s="175"/>
      <c r="J223" s="113" t="s">
        <v>189</v>
      </c>
      <c r="K223" s="174">
        <v>50</v>
      </c>
      <c r="L223" s="179"/>
      <c r="M223" s="175"/>
      <c r="N223" s="107" t="s">
        <v>191</v>
      </c>
      <c r="O223" s="95">
        <f t="shared" si="0"/>
        <v>4800</v>
      </c>
      <c r="P223" s="58"/>
    </row>
    <row r="224" spans="1:16" ht="15" customHeight="1" thickBot="1">
      <c r="A224" s="176" t="s">
        <v>280</v>
      </c>
      <c r="B224" s="177"/>
      <c r="C224" s="177"/>
      <c r="D224" s="177"/>
      <c r="E224" s="177"/>
      <c r="F224" s="177"/>
      <c r="G224" s="178"/>
      <c r="H224" s="174">
        <v>1.05</v>
      </c>
      <c r="I224" s="175"/>
      <c r="J224" s="113" t="s">
        <v>189</v>
      </c>
      <c r="K224" s="174">
        <v>200</v>
      </c>
      <c r="L224" s="179"/>
      <c r="M224" s="175"/>
      <c r="N224" s="107" t="s">
        <v>191</v>
      </c>
      <c r="O224" s="95">
        <f t="shared" si="0"/>
        <v>210</v>
      </c>
      <c r="P224" s="58"/>
    </row>
    <row r="225" spans="1:16" ht="23.25" customHeight="1">
      <c r="A225" s="176" t="s">
        <v>281</v>
      </c>
      <c r="B225" s="177"/>
      <c r="C225" s="177"/>
      <c r="D225" s="177"/>
      <c r="E225" s="177"/>
      <c r="F225" s="177"/>
      <c r="G225" s="178"/>
      <c r="H225" s="174">
        <v>820</v>
      </c>
      <c r="I225" s="175"/>
      <c r="J225" s="113" t="s">
        <v>189</v>
      </c>
      <c r="K225" s="174">
        <v>4</v>
      </c>
      <c r="L225" s="179"/>
      <c r="M225" s="175"/>
      <c r="N225" s="107" t="s">
        <v>191</v>
      </c>
      <c r="O225" s="95">
        <f t="shared" si="0"/>
        <v>3280</v>
      </c>
      <c r="P225" s="58"/>
    </row>
    <row r="226" spans="1:16" ht="15.75">
      <c r="A226" s="74"/>
      <c r="B226" s="74"/>
      <c r="C226" s="74"/>
      <c r="D226" s="74"/>
      <c r="E226" s="74"/>
      <c r="P226" s="104">
        <f>P7+P20+P30+P41+P53+P88+P152+P190+P213</f>
        <v>11027488.889999492</v>
      </c>
    </row>
    <row r="227" spans="1:5" ht="15">
      <c r="A227" s="74"/>
      <c r="B227" s="74"/>
      <c r="C227" s="74"/>
      <c r="D227" s="74"/>
      <c r="E227" s="74"/>
    </row>
    <row r="228" spans="1:5" ht="15">
      <c r="A228" s="74"/>
      <c r="B228" s="74"/>
      <c r="C228" s="74"/>
      <c r="D228" s="74"/>
      <c r="E228" s="74"/>
    </row>
    <row r="229" spans="1:7" ht="15">
      <c r="A229" s="74" t="s">
        <v>266</v>
      </c>
      <c r="B229" s="74"/>
      <c r="C229" s="74"/>
      <c r="D229" s="74"/>
      <c r="E229" s="74"/>
      <c r="F229" s="167" t="s">
        <v>267</v>
      </c>
      <c r="G229" s="167"/>
    </row>
    <row r="230" spans="1:5" ht="15">
      <c r="A230" s="74"/>
      <c r="B230" s="74"/>
      <c r="C230" s="74"/>
      <c r="D230" s="74"/>
      <c r="E230" s="74"/>
    </row>
    <row r="231" spans="1:8" ht="15">
      <c r="A231" s="74" t="s">
        <v>246</v>
      </c>
      <c r="B231" s="74"/>
      <c r="C231" s="74" t="s">
        <v>245</v>
      </c>
      <c r="D231" s="74"/>
      <c r="E231" s="74"/>
      <c r="F231" s="164" t="s">
        <v>247</v>
      </c>
      <c r="G231" s="164"/>
      <c r="H231" s="164"/>
    </row>
    <row r="232" spans="1:5" ht="15">
      <c r="A232" s="74"/>
      <c r="B232" s="74"/>
      <c r="C232" s="74"/>
      <c r="D232" s="74"/>
      <c r="E232" s="74"/>
    </row>
  </sheetData>
  <sheetProtection/>
  <mergeCells count="157">
    <mergeCell ref="A168:G168"/>
    <mergeCell ref="A159:G159"/>
    <mergeCell ref="H159:I159"/>
    <mergeCell ref="K159:M159"/>
    <mergeCell ref="A160:G160"/>
    <mergeCell ref="H160:I160"/>
    <mergeCell ref="K160:M160"/>
    <mergeCell ref="A165:G165"/>
    <mergeCell ref="A166:G166"/>
    <mergeCell ref="A161:G161"/>
    <mergeCell ref="H161:I161"/>
    <mergeCell ref="K161:M161"/>
    <mergeCell ref="A167:G167"/>
    <mergeCell ref="A162:G162"/>
    <mergeCell ref="H162:I162"/>
    <mergeCell ref="K162:M162"/>
    <mergeCell ref="K165:M165"/>
    <mergeCell ref="H166:I166"/>
    <mergeCell ref="K166:M166"/>
    <mergeCell ref="H167:I167"/>
    <mergeCell ref="K167:M167"/>
    <mergeCell ref="H168:I168"/>
    <mergeCell ref="K168:M168"/>
    <mergeCell ref="A172:O172"/>
    <mergeCell ref="A176:O176"/>
    <mergeCell ref="A177:N177"/>
    <mergeCell ref="A173:O173"/>
    <mergeCell ref="A174:N174"/>
    <mergeCell ref="A175:O175"/>
    <mergeCell ref="A170:O170"/>
    <mergeCell ref="A171:G171"/>
    <mergeCell ref="H171:I171"/>
    <mergeCell ref="K171:M171"/>
    <mergeCell ref="A157:O157"/>
    <mergeCell ref="A158:O158"/>
    <mergeCell ref="A163:O163"/>
    <mergeCell ref="A164:O164"/>
    <mergeCell ref="A169:O169"/>
    <mergeCell ref="H165:I165"/>
    <mergeCell ref="K222:M222"/>
    <mergeCell ref="H216:I216"/>
    <mergeCell ref="K223:M223"/>
    <mergeCell ref="K224:M224"/>
    <mergeCell ref="K225:M225"/>
    <mergeCell ref="A179:O179"/>
    <mergeCell ref="A180:N180"/>
    <mergeCell ref="A182:O182"/>
    <mergeCell ref="A181:O181"/>
    <mergeCell ref="A183:N183"/>
    <mergeCell ref="A224:G224"/>
    <mergeCell ref="A225:G225"/>
    <mergeCell ref="H224:I224"/>
    <mergeCell ref="H225:I225"/>
    <mergeCell ref="K216:M216"/>
    <mergeCell ref="K217:M217"/>
    <mergeCell ref="K218:M218"/>
    <mergeCell ref="K219:M219"/>
    <mergeCell ref="K220:M220"/>
    <mergeCell ref="K221:M221"/>
    <mergeCell ref="H217:I217"/>
    <mergeCell ref="H218:I218"/>
    <mergeCell ref="H219:I219"/>
    <mergeCell ref="H220:I220"/>
    <mergeCell ref="A222:G222"/>
    <mergeCell ref="A223:G223"/>
    <mergeCell ref="H222:I222"/>
    <mergeCell ref="H223:I223"/>
    <mergeCell ref="A27:P27"/>
    <mergeCell ref="A28:P28"/>
    <mergeCell ref="A37:P37"/>
    <mergeCell ref="A38:P38"/>
    <mergeCell ref="H221:I221"/>
    <mergeCell ref="A216:G216"/>
    <mergeCell ref="A217:G217"/>
    <mergeCell ref="A218:G218"/>
    <mergeCell ref="A219:G219"/>
    <mergeCell ref="A220:G220"/>
    <mergeCell ref="A93:O93"/>
    <mergeCell ref="A97:O97"/>
    <mergeCell ref="A94:O94"/>
    <mergeCell ref="A89:O89"/>
    <mergeCell ref="A39:P39"/>
    <mergeCell ref="A16:P16"/>
    <mergeCell ref="A17:P17"/>
    <mergeCell ref="A18:P18"/>
    <mergeCell ref="A21:B21"/>
    <mergeCell ref="A26:P26"/>
    <mergeCell ref="A1:P2"/>
    <mergeCell ref="A3:P3"/>
    <mergeCell ref="A4:P4"/>
    <mergeCell ref="A5:P5"/>
    <mergeCell ref="A148:P148"/>
    <mergeCell ref="A84:P84"/>
    <mergeCell ref="A85:P85"/>
    <mergeCell ref="A86:P86"/>
    <mergeCell ref="A113:O113"/>
    <mergeCell ref="A112:O112"/>
    <mergeCell ref="A42:O42"/>
    <mergeCell ref="A46:O46"/>
    <mergeCell ref="A51:P51"/>
    <mergeCell ref="A149:P149"/>
    <mergeCell ref="A144:O144"/>
    <mergeCell ref="A145:N145"/>
    <mergeCell ref="A108:O108"/>
    <mergeCell ref="A141:O141"/>
    <mergeCell ref="A142:N142"/>
    <mergeCell ref="A115:O115"/>
    <mergeCell ref="A150:P150"/>
    <mergeCell ref="A49:P49"/>
    <mergeCell ref="A50:P50"/>
    <mergeCell ref="A102:O102"/>
    <mergeCell ref="A116:O116"/>
    <mergeCell ref="A130:N130"/>
    <mergeCell ref="A131:O131"/>
    <mergeCell ref="A103:F103"/>
    <mergeCell ref="A101:O101"/>
    <mergeCell ref="A106:O106"/>
    <mergeCell ref="F231:H231"/>
    <mergeCell ref="A186:P186"/>
    <mergeCell ref="A187:P187"/>
    <mergeCell ref="A188:P188"/>
    <mergeCell ref="A209:P209"/>
    <mergeCell ref="A210:P210"/>
    <mergeCell ref="A211:P211"/>
    <mergeCell ref="F229:G229"/>
    <mergeCell ref="A215:O215"/>
    <mergeCell ref="A221:G221"/>
    <mergeCell ref="A90:O90"/>
    <mergeCell ref="A95:O95"/>
    <mergeCell ref="A122:O122"/>
    <mergeCell ref="A120:F120"/>
    <mergeCell ref="A110:F110"/>
    <mergeCell ref="A111:F111"/>
    <mergeCell ref="A107:F107"/>
    <mergeCell ref="A105:O105"/>
    <mergeCell ref="A114:F114"/>
    <mergeCell ref="A117:N117"/>
    <mergeCell ref="A118:O118"/>
    <mergeCell ref="A143:O143"/>
    <mergeCell ref="A119:O119"/>
    <mergeCell ref="A109:O109"/>
    <mergeCell ref="A125:O125"/>
    <mergeCell ref="A123:O123"/>
    <mergeCell ref="A124:N124"/>
    <mergeCell ref="A126:O126"/>
    <mergeCell ref="A127:N127"/>
    <mergeCell ref="A128:O128"/>
    <mergeCell ref="A129:O129"/>
    <mergeCell ref="A140:O140"/>
    <mergeCell ref="A138:O138"/>
    <mergeCell ref="A139:N139"/>
    <mergeCell ref="A134:O134"/>
    <mergeCell ref="A132:O132"/>
    <mergeCell ref="A133:N133"/>
    <mergeCell ref="A137:O137"/>
    <mergeCell ref="A135:O135"/>
    <mergeCell ref="A136:N136"/>
  </mergeCells>
  <printOptions/>
  <pageMargins left="0.4" right="0.26" top="0.75" bottom="0.31" header="0.4" footer="0.3"/>
  <pageSetup horizontalDpi="600" verticalDpi="600" orientation="portrait" paperSize="9" scale="6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Колдова</dc:creator>
  <cp:keywords/>
  <dc:description/>
  <cp:lastModifiedBy>Сарычева И.Б.</cp:lastModifiedBy>
  <cp:lastPrinted>2018-03-13T12:02:52Z</cp:lastPrinted>
  <dcterms:created xsi:type="dcterms:W3CDTF">2011-06-21T07:16:21Z</dcterms:created>
  <dcterms:modified xsi:type="dcterms:W3CDTF">2018-03-13T12:02:59Z</dcterms:modified>
  <cp:category/>
  <cp:version/>
  <cp:contentType/>
  <cp:contentStatus/>
</cp:coreProperties>
</file>